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44.xml" ContentType="application/vnd.openxmlformats-officedocument.spreadsheetml.worksheet+xml"/>
  <Override PartName="/xl/worksheets/sheet1.xml" ContentType="application/vnd.openxmlformats-officedocument.spreadsheetml.worksheet+xml"/>
  <Override PartName="/xl/worksheets/sheet45.xml" ContentType="application/vnd.openxmlformats-officedocument.spreadsheetml.worksheet+xml"/>
  <Override PartName="/xl/worksheets/sheet2.xml" ContentType="application/vnd.openxmlformats-officedocument.spreadsheetml.worksheet+xml"/>
  <Override PartName="/xl/worksheets/sheet4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44.xml.rels" ContentType="application/vnd.openxmlformats-package.relationships+xml"/>
  <Override PartName="/xl/worksheets/_rels/sheet1.xml.rels" ContentType="application/vnd.openxmlformats-package.relationships+xml"/>
  <Override PartName="/xl/worksheets/_rels/sheet8.xml.rels" ContentType="application/vnd.openxmlformats-package.relationships+xml"/>
  <Override PartName="/xl/worksheets/_rels/sheet42.xml.rels" ContentType="application/vnd.openxmlformats-package.relationships+xml"/>
  <Override PartName="/xl/worksheets/_rels/sheet43.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media/image1.wmf" ContentType="image/x-wmf"/>
  <Override PartName="/xl/charts/chart1.xml" ContentType="application/vnd.openxmlformats-officedocument.drawingml.chart+xml"/>
  <Override PartName="/xl/drawings/drawing1.xml" ContentType="application/vnd.openxmlformats-officedocument.drawing+xml"/>
  <Override PartName="/xl/drawings/vmlDrawing1.vml" ContentType="application/vnd.openxmlformats-officedocument.vmlDrawing"/>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comments8.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4"/>
  </bookViews>
  <sheets>
    <sheet name="0.Instruções" sheetId="1" state="visible" r:id="rId2"/>
    <sheet name="1.1. Passageiros" sheetId="2" state="hidden" r:id="rId3"/>
    <sheet name="1.2. KM programada" sheetId="3" state="visible" r:id="rId4"/>
    <sheet name="1.3 Frota Total" sheetId="4" state="visible" r:id="rId5"/>
    <sheet name="1.4 Indicadores" sheetId="5" state="visible" r:id="rId6"/>
    <sheet name="2.1.a Combustível" sheetId="6" state="visible" r:id="rId7"/>
    <sheet name="2.1.b Veículos" sheetId="7" state="visible" r:id="rId8"/>
    <sheet name="2.1.c Insumos" sheetId="8" state="visible" r:id="rId9"/>
    <sheet name="2.1. Custo Variável" sheetId="9" state="visible" r:id="rId10"/>
    <sheet name="2.2 Custo Fixo" sheetId="10" state="visible" r:id="rId11"/>
    <sheet name="Planilha3" sheetId="11" state="hidden" r:id="rId12"/>
    <sheet name="Planilha4" sheetId="12" state="hidden" r:id="rId13"/>
    <sheet name="Planilha10" sheetId="13" state="hidden" r:id="rId14"/>
    <sheet name="Planilha5" sheetId="14" state="hidden" r:id="rId15"/>
    <sheet name="Planilha6" sheetId="15" state="hidden" r:id="rId16"/>
    <sheet name="Planilha7" sheetId="16" state="hidden" r:id="rId17"/>
    <sheet name="Planilha8" sheetId="17" state="hidden" r:id="rId18"/>
    <sheet name="Planilha9" sheetId="18" state="hidden" r:id="rId19"/>
    <sheet name="Planilha1" sheetId="19" state="hidden" r:id="rId20"/>
    <sheet name="Planilha2" sheetId="20" state="hidden" r:id="rId21"/>
    <sheet name="2.3 RPS" sheetId="21" state="visible" r:id="rId22"/>
    <sheet name="4.1. Custo Pass. Transp." sheetId="22" state="hidden" r:id="rId23"/>
    <sheet name="4.2. Tarifa Pública" sheetId="23" state="hidden" r:id="rId24"/>
    <sheet name="4. Custo Total" sheetId="24" state="visible" r:id="rId25"/>
    <sheet name="5. Composição CT" sheetId="25" state="visible" r:id="rId26"/>
    <sheet name="A.III. Combustível" sheetId="26" state="visible" r:id="rId27"/>
    <sheet name="A.IV. Lub." sheetId="27" state="visible" r:id="rId28"/>
    <sheet name="A.V. Arla32" sheetId="28" state="visible" r:id="rId29"/>
    <sheet name="A.VI. Rodagem" sheetId="29" state="visible" r:id="rId30"/>
    <sheet name="A.VII. Peças e acessórios " sheetId="30" state="visible" r:id="rId31"/>
    <sheet name="A.VIII. Custos ambientais" sheetId="31" state="visible" r:id="rId32"/>
    <sheet name="A.IX.a. Deprec. veículos" sheetId="32" state="visible" r:id="rId33"/>
    <sheet name="A.IX.b. Deprec. garagem equip. " sheetId="33" state="visible" r:id="rId34"/>
    <sheet name="A.X.a. Remun. veículos " sheetId="34" state="visible" r:id="rId35"/>
    <sheet name="A.X.b.  Remun. garagem equip." sheetId="35" state="visible" r:id="rId36"/>
    <sheet name="A.X.c. Remun. Eq. Bilhet. ITS" sheetId="36" state="visible" r:id="rId37"/>
    <sheet name="A.X.d. Remun. Vec. Apoio" sheetId="37" state="visible" r:id="rId38"/>
    <sheet name="A.X. Remun. Infra" sheetId="38" state="visible" r:id="rId39"/>
    <sheet name="A.X.e. Remun. Infraes" sheetId="39" state="visible" r:id="rId40"/>
    <sheet name="A.XII. FU" sheetId="40" state="visible" r:id="rId41"/>
    <sheet name="A.XIII. DMA" sheetId="41" state="visible" r:id="rId42"/>
    <sheet name="A.XV. RPS (Simplificado)" sheetId="42" state="visible" r:id="rId43"/>
    <sheet name="A.XV. RPS (DetalhadoI)" sheetId="43" state="visible" r:id="rId44"/>
    <sheet name="A.XV. RPS (DetalhadoII)" sheetId="44" state="visible" r:id="rId45"/>
    <sheet name="A.XV. RPS (Base Num)" sheetId="45" state="hidden" r:id="rId46"/>
    <sheet name="A.XVI. Despesas Gerais" sheetId="46" state="visible" r:id="rId47"/>
  </sheets>
  <calcPr iterateCount="100" refMode="A1" iterate="false" iterateDelta="0.0001"/>
  <extLst>
    <ext xmlns:loext="http://schemas.libreoffice.org/" uri="{7626C862-2A13-11E5-B345-FEFF819CDC9F}">
      <loext:extCalcPr stringRefSyntax="ExcelA1"/>
    </ext>
  </extLst>
</workbook>
</file>

<file path=xl/comments8.xml><?xml version="1.0" encoding="utf-8"?>
<comments xmlns="http://schemas.openxmlformats.org/spreadsheetml/2006/main" xmlns:xdr="http://schemas.openxmlformats.org/drawingml/2006/spreadsheetDrawing">
  <authors>
    <author> </author>
  </authors>
  <commentList>
    <comment ref="F40" authorId="0">
      <text>
        <r>
          <rPr>
            <sz val="10"/>
            <rFont val="Arial"/>
            <family val="0"/>
            <charset val="1"/>
          </rPr>
          <t xml:space="preserve">Com adicional de insalubridade</t>
        </r>
      </text>
    </comment>
  </commentList>
</comments>
</file>

<file path=xl/sharedStrings.xml><?xml version="1.0" encoding="utf-8"?>
<sst xmlns="http://schemas.openxmlformats.org/spreadsheetml/2006/main" count="1841" uniqueCount="957">
  <si>
    <t xml:space="preserve">0. Instruções</t>
  </si>
  <si>
    <t xml:space="preserve">1. Esta planilha eletrônica segue as definições do documento ¨Custos dos serviços de transporte público por ônibus - Método de Cálculo". ANTP (2017).</t>
  </si>
  <si>
    <t xml:space="preserve">2. As abas da planilha seguem a numeração dos capitulos desse documento.</t>
  </si>
  <si>
    <t xml:space="preserve">3. No caso dos anexos, o numeral romano que identifica o anexo é precedido da letra "A".</t>
  </si>
  <si>
    <t xml:space="preserve">4. As células em laranja </t>
  </si>
  <si>
    <t xml:space="preserve">são entradas de dados e precisam de preenchimento.</t>
  </si>
  <si>
    <t xml:space="preserve">5. As células em verde</t>
  </si>
  <si>
    <t xml:space="preserve">são entradas de dados preenchidas com valores de referência, conforme o respectivo anexo do método de cálculo.</t>
  </si>
  <si>
    <t xml:space="preserve">6. As células em azul</t>
  </si>
  <si>
    <t xml:space="preserve">são resultados e não devem ser preenchidas.</t>
  </si>
  <si>
    <t xml:space="preserve">AVISO:</t>
  </si>
  <si>
    <t xml:space="preserve">Esta planilha eletrônica foi criada como instrumento de apoio.</t>
  </si>
  <si>
    <t xml:space="preserve">A ANTP (Associação Nacional de Transportes Públicos) não assume qualquer responsabilidade pela aplicação da planilha e do método.</t>
  </si>
  <si>
    <t xml:space="preserve">O documento ¨Custos dos serviços de transporte público por ônibus - Método de Cálculo". </t>
  </si>
  <si>
    <t xml:space="preserve">Versão 1.1 ( 2021)</t>
  </si>
  <si>
    <t xml:space="preserve">1.1 Passageiros</t>
  </si>
  <si>
    <t xml:space="preserve">Legenda</t>
  </si>
  <si>
    <r>
      <rPr>
        <b val="true"/>
        <sz val="11"/>
        <rFont val="Calibri"/>
        <family val="2"/>
        <charset val="1"/>
      </rPr>
      <t xml:space="preserve">1.1.1. Passageiros Transportados</t>
    </r>
    <r>
      <rPr>
        <b val="true"/>
        <i val="true"/>
        <sz val="11"/>
        <rFont val="Calibri"/>
        <family val="2"/>
        <charset val="1"/>
      </rPr>
      <t xml:space="preserve"> por mês (PT)</t>
    </r>
  </si>
  <si>
    <t xml:space="preserve">Entrada de dados</t>
  </si>
  <si>
    <t xml:space="preserve">Comum</t>
  </si>
  <si>
    <t xml:space="preserve">Entrada de dados com valor de referência</t>
  </si>
  <si>
    <t xml:space="preserve">Vale-Transporte</t>
  </si>
  <si>
    <t xml:space="preserve">Resultado</t>
  </si>
  <si>
    <t xml:space="preserve">Estudante</t>
  </si>
  <si>
    <t xml:space="preserve">Gratuidade</t>
  </si>
  <si>
    <t xml:space="preserve">Outros</t>
  </si>
  <si>
    <t xml:space="preserve">Passageiros Transportados (PT)</t>
  </si>
  <si>
    <r>
      <rPr>
        <b val="true"/>
        <sz val="11"/>
        <rFont val="Calibri"/>
        <family val="2"/>
        <charset val="1"/>
      </rPr>
      <t xml:space="preserve">1.1.2. Passageiros Equivalentes </t>
    </r>
    <r>
      <rPr>
        <b val="true"/>
        <i val="true"/>
        <sz val="11"/>
        <rFont val="Calibri"/>
        <family val="2"/>
        <charset val="1"/>
      </rPr>
      <t xml:space="preserve">(PE)</t>
    </r>
  </si>
  <si>
    <r>
      <rPr>
        <b val="true"/>
        <sz val="11"/>
        <rFont val="Calibri"/>
        <family val="2"/>
        <charset val="1"/>
      </rPr>
      <t xml:space="preserve">1.1.2</t>
    </r>
    <r>
      <rPr>
        <b val="true"/>
        <i val="true"/>
        <sz val="11"/>
        <rFont val="Calibri"/>
        <family val="2"/>
        <charset val="1"/>
      </rPr>
      <t xml:space="preserve">.a Tarifa Pública Vigente (TPU)</t>
    </r>
  </si>
  <si>
    <r>
      <rPr>
        <b val="true"/>
        <sz val="11"/>
        <color rgb="FFFFFFFF"/>
        <rFont val="Calibri"/>
        <family val="2"/>
        <charset val="1"/>
      </rPr>
      <t xml:space="preserve">Tarifas públicas "i" vigentes (</t>
    </r>
    <r>
      <rPr>
        <b val="true"/>
        <i val="true"/>
        <sz val="11"/>
        <color rgb="FFFFFFFF"/>
        <rFont val="Calibri"/>
        <family val="2"/>
        <charset val="1"/>
      </rPr>
      <t xml:space="preserve">TPi</t>
    </r>
    <r>
      <rPr>
        <b val="true"/>
        <sz val="11"/>
        <color rgb="FFFFFFFF"/>
        <rFont val="Calibri"/>
        <family val="2"/>
        <charset val="1"/>
      </rPr>
      <t xml:space="preserve">) (em R$)</t>
    </r>
  </si>
  <si>
    <r>
      <rPr>
        <b val="true"/>
        <i val="true"/>
        <sz val="11"/>
        <color rgb="FF000000"/>
        <rFont val="Calibri"/>
        <family val="2"/>
        <charset val="1"/>
      </rPr>
      <t xml:space="preserve">TP</t>
    </r>
    <r>
      <rPr>
        <b val="true"/>
        <i val="true"/>
        <vertAlign val="subscript"/>
        <sz val="11"/>
        <color rgb="FF000000"/>
        <rFont val="Calibri"/>
        <family val="2"/>
        <charset val="1"/>
      </rPr>
      <t xml:space="preserve">1</t>
    </r>
  </si>
  <si>
    <r>
      <rPr>
        <b val="true"/>
        <i val="true"/>
        <sz val="11"/>
        <color rgb="FF000000"/>
        <rFont val="Calibri"/>
        <family val="2"/>
        <charset val="1"/>
      </rPr>
      <t xml:space="preserve">TP</t>
    </r>
    <r>
      <rPr>
        <b val="true"/>
        <i val="true"/>
        <vertAlign val="subscript"/>
        <sz val="11"/>
        <color rgb="FF000000"/>
        <rFont val="Calibri"/>
        <family val="2"/>
        <charset val="1"/>
      </rPr>
      <t xml:space="preserve">2</t>
    </r>
  </si>
  <si>
    <r>
      <rPr>
        <b val="true"/>
        <i val="true"/>
        <sz val="11"/>
        <color rgb="FF000000"/>
        <rFont val="Calibri"/>
        <family val="2"/>
        <charset val="1"/>
      </rPr>
      <t xml:space="preserve">TP</t>
    </r>
    <r>
      <rPr>
        <b val="true"/>
        <i val="true"/>
        <vertAlign val="subscript"/>
        <sz val="11"/>
        <color rgb="FF000000"/>
        <rFont val="Calibri"/>
        <family val="2"/>
        <charset val="1"/>
      </rPr>
      <t xml:space="preserve">3</t>
    </r>
  </si>
  <si>
    <r>
      <rPr>
        <b val="true"/>
        <i val="true"/>
        <sz val="11"/>
        <color rgb="FF000000"/>
        <rFont val="Calibri"/>
        <family val="2"/>
        <charset val="1"/>
      </rPr>
      <t xml:space="preserve">TP</t>
    </r>
    <r>
      <rPr>
        <b val="true"/>
        <i val="true"/>
        <vertAlign val="subscript"/>
        <sz val="11"/>
        <color rgb="FF000000"/>
        <rFont val="Calibri"/>
        <family val="2"/>
        <charset val="1"/>
      </rPr>
      <t xml:space="preserve">4</t>
    </r>
  </si>
  <si>
    <r>
      <rPr>
        <b val="true"/>
        <i val="true"/>
        <sz val="11"/>
        <color rgb="FF000000"/>
        <rFont val="Calibri"/>
        <family val="2"/>
        <charset val="1"/>
      </rPr>
      <t xml:space="preserve">TP</t>
    </r>
    <r>
      <rPr>
        <b val="true"/>
        <i val="true"/>
        <vertAlign val="subscript"/>
        <sz val="11"/>
        <color rgb="FF000000"/>
        <rFont val="Calibri"/>
        <family val="2"/>
        <charset val="1"/>
      </rPr>
      <t xml:space="preserve">5</t>
    </r>
  </si>
  <si>
    <r>
      <rPr>
        <b val="true"/>
        <i val="true"/>
        <sz val="11"/>
        <color rgb="FF000000"/>
        <rFont val="Calibri"/>
        <family val="2"/>
        <charset val="1"/>
      </rPr>
      <t xml:space="preserve">TP</t>
    </r>
    <r>
      <rPr>
        <b val="true"/>
        <i val="true"/>
        <vertAlign val="subscript"/>
        <sz val="11"/>
        <color rgb="FF000000"/>
        <rFont val="Calibri"/>
        <family val="2"/>
        <charset val="1"/>
      </rPr>
      <t xml:space="preserve">6</t>
    </r>
  </si>
  <si>
    <r>
      <rPr>
        <b val="true"/>
        <i val="true"/>
        <sz val="11"/>
        <color rgb="FF000000"/>
        <rFont val="Calibri"/>
        <family val="2"/>
        <charset val="1"/>
      </rPr>
      <t xml:space="preserve">TP</t>
    </r>
    <r>
      <rPr>
        <b val="true"/>
        <i val="true"/>
        <vertAlign val="subscript"/>
        <sz val="11"/>
        <color rgb="FF000000"/>
        <rFont val="Calibri"/>
        <family val="2"/>
        <charset val="1"/>
      </rPr>
      <t xml:space="preserve">7</t>
    </r>
  </si>
  <si>
    <r>
      <rPr>
        <b val="true"/>
        <i val="true"/>
        <sz val="11"/>
        <color rgb="FF000000"/>
        <rFont val="Calibri"/>
        <family val="2"/>
        <charset val="1"/>
      </rPr>
      <t xml:space="preserve">TP</t>
    </r>
    <r>
      <rPr>
        <b val="true"/>
        <i val="true"/>
        <vertAlign val="subscript"/>
        <sz val="11"/>
        <color rgb="FF000000"/>
        <rFont val="Calibri"/>
        <family val="2"/>
        <charset val="1"/>
      </rPr>
      <t xml:space="preserve">8</t>
    </r>
  </si>
  <si>
    <r>
      <rPr>
        <b val="true"/>
        <i val="true"/>
        <sz val="11"/>
        <color rgb="FF000000"/>
        <rFont val="Calibri"/>
        <family val="2"/>
        <charset val="1"/>
      </rPr>
      <t xml:space="preserve">TP</t>
    </r>
    <r>
      <rPr>
        <b val="true"/>
        <i val="true"/>
        <vertAlign val="subscript"/>
        <sz val="11"/>
        <color rgb="FF000000"/>
        <rFont val="Calibri"/>
        <family val="2"/>
        <charset val="1"/>
      </rPr>
      <t xml:space="preserve">9</t>
    </r>
  </si>
  <si>
    <r>
      <rPr>
        <b val="true"/>
        <i val="true"/>
        <sz val="11"/>
        <color rgb="FF000000"/>
        <rFont val="Calibri"/>
        <family val="2"/>
        <charset val="1"/>
      </rPr>
      <t xml:space="preserve">TP</t>
    </r>
    <r>
      <rPr>
        <b val="true"/>
        <i val="true"/>
        <vertAlign val="subscript"/>
        <sz val="11"/>
        <color rgb="FF000000"/>
        <rFont val="Calibri"/>
        <family val="2"/>
        <charset val="1"/>
      </rPr>
      <t xml:space="preserve">10</t>
    </r>
  </si>
  <si>
    <r>
      <rPr>
        <b val="true"/>
        <sz val="11"/>
        <rFont val="Calibri"/>
        <family val="2"/>
        <charset val="1"/>
      </rPr>
      <t xml:space="preserve">1.1.2</t>
    </r>
    <r>
      <rPr>
        <b val="true"/>
        <i val="true"/>
        <sz val="11"/>
        <rFont val="Calibri"/>
        <family val="2"/>
        <charset val="1"/>
      </rPr>
      <t xml:space="preserve">.b Deseja informar dados de modo (marcar X):</t>
    </r>
  </si>
  <si>
    <t xml:space="preserve">Detalhado:</t>
  </si>
  <si>
    <t xml:space="preserve">X</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</si>
  <si>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.c)</t>
    </r>
  </si>
  <si>
    <t xml:space="preserve">Média mensal consolidada:</t>
  </si>
  <si>
    <r>
      <rPr>
        <b val="true"/>
        <i val="true"/>
        <sz val="11"/>
        <rFont val="Calibri"/>
        <family val="2"/>
        <charset val="1"/>
      </rPr>
      <t xml:space="preserve">(ir para o item </t>
    </r>
    <r>
      <rPr>
        <b val="true"/>
        <sz val="11"/>
        <rFont val="Calibri"/>
        <family val="2"/>
        <charset val="1"/>
      </rPr>
      <t xml:space="preserve">1.1.2</t>
    </r>
    <r>
      <rPr>
        <b val="true"/>
        <i val="true"/>
        <sz val="11"/>
        <rFont val="Calibri"/>
        <family val="2"/>
        <charset val="1"/>
      </rPr>
      <t xml:space="preserve">.d)</t>
    </r>
  </si>
  <si>
    <r>
      <rPr>
        <b val="true"/>
        <sz val="11"/>
        <rFont val="Calibri"/>
        <family val="2"/>
        <charset val="1"/>
      </rPr>
      <t xml:space="preserve">1.1.2</t>
    </r>
    <r>
      <rPr>
        <b val="true"/>
        <i val="true"/>
        <sz val="11"/>
        <rFont val="Calibri"/>
        <family val="2"/>
        <charset val="1"/>
      </rPr>
      <t xml:space="preserve">.c. Passageiros pagantes por tarifa pública (Anexo I)</t>
    </r>
  </si>
  <si>
    <t xml:space="preserve">Passageiros Pagantes por mês [m] e Tarifa Pública [TP]i (passageiros/mês)</t>
  </si>
  <si>
    <t xml:space="preserve">Mês [m]i</t>
  </si>
  <si>
    <t xml:space="preserve">[m]1</t>
  </si>
  <si>
    <t xml:space="preserve">[m]2</t>
  </si>
  <si>
    <t xml:space="preserve">[m]3</t>
  </si>
  <si>
    <t xml:space="preserve">[m]4</t>
  </si>
  <si>
    <t xml:space="preserve">[m]5</t>
  </si>
  <si>
    <t xml:space="preserve">[m]6</t>
  </si>
  <si>
    <t xml:space="preserve">[m]7</t>
  </si>
  <si>
    <t xml:space="preserve">[m]8</t>
  </si>
  <si>
    <t xml:space="preserve">[m]9</t>
  </si>
  <si>
    <t xml:space="preserve">[m]10</t>
  </si>
  <si>
    <t xml:space="preserve">[m]11</t>
  </si>
  <si>
    <t xml:space="preserve">[m]12</t>
  </si>
  <si>
    <t xml:space="preserve">1.1.2.d. Média mensal de Passageiros pagantes por tarifa pública</t>
  </si>
  <si>
    <t xml:space="preserve">Média mensal de passageiros pagantes</t>
  </si>
  <si>
    <t xml:space="preserve">1.1.2.e.  Receita média mensal por tarifa pública (RT)</t>
  </si>
  <si>
    <t xml:space="preserve">Receita média mensal por tarifa pública (em R$)</t>
  </si>
  <si>
    <r>
      <rPr>
        <b val="true"/>
        <sz val="11"/>
        <color rgb="FF000000"/>
        <rFont val="Calibri"/>
        <family val="2"/>
        <charset val="1"/>
      </rPr>
      <t xml:space="preserve">TP</t>
    </r>
    <r>
      <rPr>
        <b val="true"/>
        <vertAlign val="subscript"/>
        <sz val="11"/>
        <color rgb="FF000000"/>
        <rFont val="Calibri"/>
        <family val="2"/>
        <charset val="1"/>
      </rPr>
      <t xml:space="preserve">1</t>
    </r>
  </si>
  <si>
    <r>
      <rPr>
        <b val="true"/>
        <sz val="11"/>
        <color rgb="FF000000"/>
        <rFont val="Calibri"/>
        <family val="2"/>
        <charset val="1"/>
      </rPr>
      <t xml:space="preserve">TP</t>
    </r>
    <r>
      <rPr>
        <b val="true"/>
        <vertAlign val="subscript"/>
        <sz val="11"/>
        <color rgb="FF000000"/>
        <rFont val="Calibri"/>
        <family val="2"/>
        <charset val="1"/>
      </rPr>
      <t xml:space="preserve">2</t>
    </r>
  </si>
  <si>
    <r>
      <rPr>
        <b val="true"/>
        <sz val="11"/>
        <color rgb="FF000000"/>
        <rFont val="Calibri"/>
        <family val="2"/>
        <charset val="1"/>
      </rPr>
      <t xml:space="preserve">TP</t>
    </r>
    <r>
      <rPr>
        <b val="true"/>
        <vertAlign val="subscript"/>
        <sz val="11"/>
        <color rgb="FF000000"/>
        <rFont val="Calibri"/>
        <family val="2"/>
        <charset val="1"/>
      </rPr>
      <t xml:space="preserve">3</t>
    </r>
  </si>
  <si>
    <r>
      <rPr>
        <b val="true"/>
        <sz val="11"/>
        <color rgb="FF000000"/>
        <rFont val="Calibri"/>
        <family val="2"/>
        <charset val="1"/>
      </rPr>
      <t xml:space="preserve">TP</t>
    </r>
    <r>
      <rPr>
        <b val="true"/>
        <vertAlign val="subscript"/>
        <sz val="11"/>
        <color rgb="FF000000"/>
        <rFont val="Calibri"/>
        <family val="2"/>
        <charset val="1"/>
      </rPr>
      <t xml:space="preserve">4</t>
    </r>
  </si>
  <si>
    <r>
      <rPr>
        <b val="true"/>
        <sz val="11"/>
        <color rgb="FF000000"/>
        <rFont val="Calibri"/>
        <family val="2"/>
        <charset val="1"/>
      </rPr>
      <t xml:space="preserve">TP</t>
    </r>
    <r>
      <rPr>
        <b val="true"/>
        <vertAlign val="subscript"/>
        <sz val="11"/>
        <color rgb="FF000000"/>
        <rFont val="Calibri"/>
        <family val="2"/>
        <charset val="1"/>
      </rPr>
      <t xml:space="preserve">5</t>
    </r>
  </si>
  <si>
    <r>
      <rPr>
        <b val="true"/>
        <sz val="11"/>
        <color rgb="FF000000"/>
        <rFont val="Calibri"/>
        <family val="2"/>
        <charset val="1"/>
      </rPr>
      <t xml:space="preserve">TP</t>
    </r>
    <r>
      <rPr>
        <b val="true"/>
        <vertAlign val="subscript"/>
        <sz val="11"/>
        <color rgb="FF000000"/>
        <rFont val="Calibri"/>
        <family val="2"/>
        <charset val="1"/>
      </rPr>
      <t xml:space="preserve">6</t>
    </r>
  </si>
  <si>
    <r>
      <rPr>
        <b val="true"/>
        <sz val="11"/>
        <color rgb="FF000000"/>
        <rFont val="Calibri"/>
        <family val="2"/>
        <charset val="1"/>
      </rPr>
      <t xml:space="preserve">TP</t>
    </r>
    <r>
      <rPr>
        <b val="true"/>
        <vertAlign val="subscript"/>
        <sz val="11"/>
        <color rgb="FF000000"/>
        <rFont val="Calibri"/>
        <family val="2"/>
        <charset val="1"/>
      </rPr>
      <t xml:space="preserve">7</t>
    </r>
  </si>
  <si>
    <r>
      <rPr>
        <b val="true"/>
        <sz val="11"/>
        <color rgb="FF000000"/>
        <rFont val="Calibri"/>
        <family val="2"/>
        <charset val="1"/>
      </rPr>
      <t xml:space="preserve">TP</t>
    </r>
    <r>
      <rPr>
        <b val="true"/>
        <vertAlign val="subscript"/>
        <sz val="11"/>
        <color rgb="FF000000"/>
        <rFont val="Calibri"/>
        <family val="2"/>
        <charset val="1"/>
      </rPr>
      <t xml:space="preserve">8</t>
    </r>
  </si>
  <si>
    <r>
      <rPr>
        <b val="true"/>
        <sz val="11"/>
        <color rgb="FF000000"/>
        <rFont val="Calibri"/>
        <family val="2"/>
        <charset val="1"/>
      </rPr>
      <t xml:space="preserve">TP</t>
    </r>
    <r>
      <rPr>
        <b val="true"/>
        <vertAlign val="subscript"/>
        <sz val="11"/>
        <color rgb="FF000000"/>
        <rFont val="Calibri"/>
        <family val="2"/>
        <charset val="1"/>
      </rPr>
      <t xml:space="preserve">9</t>
    </r>
  </si>
  <si>
    <r>
      <rPr>
        <b val="true"/>
        <sz val="11"/>
        <color rgb="FF000000"/>
        <rFont val="Calibri"/>
        <family val="2"/>
        <charset val="1"/>
      </rPr>
      <t xml:space="preserve">TP</t>
    </r>
    <r>
      <rPr>
        <b val="true"/>
        <vertAlign val="subscript"/>
        <sz val="11"/>
        <color rgb="FF000000"/>
        <rFont val="Calibri"/>
        <family val="2"/>
        <charset val="1"/>
      </rPr>
      <t xml:space="preserve">10</t>
    </r>
  </si>
  <si>
    <r>
      <rPr>
        <b val="true"/>
        <i val="true"/>
        <sz val="11"/>
        <rFont val="Calibri"/>
        <family val="2"/>
        <charset val="1"/>
      </rPr>
      <t xml:space="preserve">1.1.2.f.  Receita Integrada (RI) </t>
    </r>
    <r>
      <rPr>
        <b val="true"/>
        <sz val="11"/>
        <rFont val="Calibri"/>
        <family val="2"/>
        <charset val="1"/>
      </rPr>
      <t xml:space="preserve">refere-se aos recursos ($) especificamente arrecadados nas viagens com integração. Essa informação é usada apenas na análise de risco (aba A.XV. Detalhado)</t>
    </r>
  </si>
  <si>
    <t xml:space="preserve">Receita da Integração</t>
  </si>
  <si>
    <t xml:space="preserve">1.2 Quilometragem Programada (KP)</t>
  </si>
  <si>
    <r>
      <rPr>
        <b val="true"/>
        <sz val="10"/>
        <rFont val="Calibri"/>
        <family val="2"/>
        <charset val="1"/>
      </rPr>
      <t xml:space="preserve">1.2</t>
    </r>
    <r>
      <rPr>
        <b val="true"/>
        <i val="true"/>
        <sz val="10"/>
        <rFont val="Calibri"/>
        <family val="2"/>
        <charset val="1"/>
      </rPr>
      <t xml:space="preserve">.a.</t>
    </r>
  </si>
  <si>
    <t xml:space="preserve">Periodo de análise M (em meses):</t>
  </si>
  <si>
    <r>
      <rPr>
        <b val="true"/>
        <sz val="10"/>
        <rFont val="Calibri"/>
        <family val="2"/>
        <charset val="1"/>
      </rPr>
      <t xml:space="preserve">1.2</t>
    </r>
    <r>
      <rPr>
        <b val="true"/>
        <i val="true"/>
        <sz val="10"/>
        <rFont val="Calibri"/>
        <family val="2"/>
        <charset val="1"/>
      </rPr>
      <t xml:space="preserve">.b.</t>
    </r>
  </si>
  <si>
    <t xml:space="preserve">Deseja informar dados de modo (marcar X):</t>
  </si>
  <si>
    <t xml:space="preserve">Consolidado mensal:</t>
  </si>
  <si>
    <t xml:space="preserve">x</t>
  </si>
  <si>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.c)</t>
    </r>
  </si>
  <si>
    <r>
      <rPr>
        <b val="true"/>
        <i val="true"/>
        <sz val="10"/>
        <rFont val="Calibri"/>
        <family val="2"/>
        <charset val="1"/>
      </rPr>
      <t xml:space="preserve">(ir para o item </t>
    </r>
    <r>
      <rPr>
        <b val="true"/>
        <sz val="10"/>
        <rFont val="Calibri"/>
        <family val="2"/>
        <charset val="1"/>
      </rPr>
      <t xml:space="preserve">1.2</t>
    </r>
    <r>
      <rPr>
        <b val="true"/>
        <i val="true"/>
        <sz val="10"/>
        <rFont val="Calibri"/>
        <family val="2"/>
        <charset val="1"/>
      </rPr>
      <t xml:space="preserve">.d)</t>
    </r>
  </si>
  <si>
    <r>
      <rPr>
        <b val="true"/>
        <sz val="10"/>
        <rFont val="Calibri"/>
        <family val="2"/>
        <charset val="1"/>
      </rPr>
      <t xml:space="preserve">1.2</t>
    </r>
    <r>
      <rPr>
        <b val="true"/>
        <i val="true"/>
        <sz val="10"/>
        <rFont val="Calibri"/>
        <family val="2"/>
        <charset val="1"/>
      </rPr>
      <t xml:space="preserve">.c.</t>
    </r>
  </si>
  <si>
    <t xml:space="preserve">Quilometragem programada média mensal do sistema (consolidada):</t>
  </si>
  <si>
    <t xml:space="preserve">Extensão programada:</t>
  </si>
  <si>
    <t xml:space="preserve">km</t>
  </si>
  <si>
    <r>
      <rPr>
        <b val="true"/>
        <sz val="10"/>
        <rFont val="Calibri"/>
        <family val="2"/>
        <charset val="1"/>
      </rPr>
      <t xml:space="preserve">1.2</t>
    </r>
    <r>
      <rPr>
        <b val="true"/>
        <i val="true"/>
        <sz val="10"/>
        <rFont val="Calibri"/>
        <family val="2"/>
        <charset val="1"/>
      </rPr>
      <t xml:space="preserve">.d.</t>
    </r>
  </si>
  <si>
    <t xml:space="preserve">Quilometragem programanda por linha (detalhada)[Anexo II]:</t>
  </si>
  <si>
    <t xml:space="preserve">ID</t>
  </si>
  <si>
    <t xml:space="preserve">Linha (nº)</t>
  </si>
  <si>
    <t xml:space="preserve">Quant. de dias de operação no período de análise M (QD[K])</t>
  </si>
  <si>
    <r>
      <rPr>
        <b val="true"/>
        <sz val="10"/>
        <color rgb="FFFFFFFF"/>
        <rFont val="Calibri"/>
        <family val="2"/>
        <charset val="1"/>
      </rPr>
      <t xml:space="preserve">Quant. viagens prog. p/ linhas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(KV[k]l) </t>
    </r>
  </si>
  <si>
    <r>
      <rPr>
        <b val="true"/>
        <sz val="10"/>
        <color rgb="FFFFFFFF"/>
        <rFont val="Calibri"/>
        <family val="2"/>
        <charset val="1"/>
      </rPr>
      <t xml:space="preserve">km prog. p/ linha de ônibus "</t>
    </r>
    <r>
      <rPr>
        <b val="true"/>
        <i val="true"/>
        <sz val="10"/>
        <color rgb="FFFFFFFF"/>
        <rFont val="Calibri"/>
        <family val="2"/>
        <charset val="1"/>
      </rPr>
      <t xml:space="preserve">l"</t>
    </r>
    <r>
      <rPr>
        <b val="true"/>
        <sz val="10"/>
        <color rgb="FFFFFFFF"/>
        <rFont val="Calibri"/>
        <family val="2"/>
        <charset val="1"/>
      </rPr>
      <t xml:space="preserve"> em um tipo de dia de operação "</t>
    </r>
    <r>
      <rPr>
        <b val="true"/>
        <i val="true"/>
        <sz val="10"/>
        <color rgb="FFFFFFFF"/>
        <rFont val="Calibri"/>
        <family val="2"/>
        <charset val="1"/>
      </rPr>
      <t xml:space="preserve">k"</t>
    </r>
    <r>
      <rPr>
        <b val="true"/>
        <sz val="10"/>
        <color rgb="FFFFFFFF"/>
        <rFont val="Calibri"/>
        <family val="2"/>
        <charset val="1"/>
      </rPr>
      <t xml:space="preserve"> (KL[k]l) </t>
    </r>
  </si>
  <si>
    <t xml:space="preserve">Quilometragem programada mensal</t>
  </si>
  <si>
    <t xml:space="preserve">Unidade: dias</t>
  </si>
  <si>
    <t xml:space="preserve">Unidade: viagens</t>
  </si>
  <si>
    <t xml:space="preserve">Unidade: km</t>
  </si>
  <si>
    <t xml:space="preserve">Dias úteis</t>
  </si>
  <si>
    <t xml:space="preserve">Sábados</t>
  </si>
  <si>
    <t xml:space="preserve">Domingos / Feriados</t>
  </si>
  <si>
    <t xml:space="preserve">Total</t>
  </si>
  <si>
    <t xml:space="preserve">Jardim Vitória/Mafra/Asa Branca</t>
  </si>
  <si>
    <t xml:space="preserve">Jardim Uni/Cassidori/Beatriz Guim.</t>
  </si>
  <si>
    <t xml:space="preserve">Bela Vista/  Pedro Moreira</t>
  </si>
  <si>
    <t xml:space="preserve">Reboque Bela Vista</t>
  </si>
  <si>
    <t xml:space="preserve">Zona 4</t>
  </si>
  <si>
    <t xml:space="preserve">Zona 2</t>
  </si>
  <si>
    <t xml:space="preserve">Jard. Atlântico/Pq das Nações/Belas Artes</t>
  </si>
  <si>
    <t xml:space="preserve">Vila Operária</t>
  </si>
  <si>
    <t xml:space="preserve">Vila Sete</t>
  </si>
  <si>
    <t xml:space="preserve">Vidigal</t>
  </si>
  <si>
    <t xml:space="preserve">Unipar/Umfg</t>
  </si>
  <si>
    <t xml:space="preserve">PR 082 - Lavanderia</t>
  </si>
  <si>
    <t xml:space="preserve">Avenida Piauí - Dom Bosco</t>
  </si>
  <si>
    <t xml:space="preserve">PR 323 - Portal</t>
  </si>
  <si>
    <t xml:space="preserve">1.3 Frota total (FT)</t>
  </si>
  <si>
    <r>
      <rPr>
        <b val="true"/>
        <sz val="11"/>
        <rFont val="Calibri"/>
        <family val="2"/>
        <charset val="1"/>
      </rPr>
      <t xml:space="preserve">1.3.1. Classificação dos veículos</t>
    </r>
    <r>
      <rPr>
        <b val="true"/>
        <i val="true"/>
        <sz val="11"/>
        <rFont val="Calibri"/>
        <family val="2"/>
        <charset val="1"/>
      </rPr>
      <t xml:space="preserve"> (PT)</t>
    </r>
  </si>
  <si>
    <t xml:space="preserve">ABNT NBR 15570:2009</t>
  </si>
  <si>
    <t xml:space="preserve">Capacidade</t>
  </si>
  <si>
    <t xml:space="preserve">PBT mínimo</t>
  </si>
  <si>
    <t xml:space="preserve">Comprimento total máximo</t>
  </si>
  <si>
    <t xml:space="preserve">Microônibus</t>
  </si>
  <si>
    <t xml:space="preserve">Entre 10 e 20 passageiros (exclusivamente sentados)</t>
  </si>
  <si>
    <t xml:space="preserve">5t</t>
  </si>
  <si>
    <t xml:space="preserve">7,4m</t>
  </si>
  <si>
    <t xml:space="preserve">Miniônibus</t>
  </si>
  <si>
    <t xml:space="preserve">Mínimo de 30 passageiros (sentados e em pé)</t>
  </si>
  <si>
    <t xml:space="preserve">8t</t>
  </si>
  <si>
    <t xml:space="preserve">9,6m</t>
  </si>
  <si>
    <t xml:space="preserve">Midiônibus</t>
  </si>
  <si>
    <t xml:space="preserve">Mínimo de 40 passageiros  (sentados e em pé)</t>
  </si>
  <si>
    <t xml:space="preserve">10t</t>
  </si>
  <si>
    <t xml:space="preserve">11,5m</t>
  </si>
  <si>
    <t xml:space="preserve">Ônibus básico</t>
  </si>
  <si>
    <t xml:space="preserve">Mínimo de 70 passageiros  (sentados e em pé)</t>
  </si>
  <si>
    <t xml:space="preserve">16t</t>
  </si>
  <si>
    <t xml:space="preserve">14m</t>
  </si>
  <si>
    <t xml:space="preserve">Ônibus padron</t>
  </si>
  <si>
    <t xml:space="preserve">Mínimo de 80 passageiros  (sentados e em pé)</t>
  </si>
  <si>
    <t xml:space="preserve">Ônibus articulado</t>
  </si>
  <si>
    <t xml:space="preserve">Mínimo de 100 passageiros  (sentados e em pé)</t>
  </si>
  <si>
    <t xml:space="preserve">26t</t>
  </si>
  <si>
    <t xml:space="preserve">18,6m</t>
  </si>
  <si>
    <t xml:space="preserve">Ônibus biarticulado</t>
  </si>
  <si>
    <t xml:space="preserve">Mínimo de 160 passageiros  (sentados e em pé)</t>
  </si>
  <si>
    <t xml:space="preserve">36t</t>
  </si>
  <si>
    <t xml:space="preserve">30m</t>
  </si>
  <si>
    <t xml:space="preserve">1.3.2. Cálculo da Frota </t>
  </si>
  <si>
    <r>
      <rPr>
        <b val="true"/>
        <sz val="11"/>
        <rFont val="Calibri"/>
        <family val="2"/>
        <charset val="1"/>
      </rPr>
      <t xml:space="preserve">1.3.2.</t>
    </r>
    <r>
      <rPr>
        <b val="true"/>
        <i val="true"/>
        <sz val="11"/>
        <rFont val="Calibri"/>
        <family val="2"/>
        <charset val="1"/>
      </rPr>
      <t xml:space="preserve">a</t>
    </r>
    <r>
      <rPr>
        <b val="true"/>
        <sz val="11"/>
        <rFont val="Calibri"/>
        <family val="2"/>
        <charset val="1"/>
      </rPr>
      <t xml:space="preserve"> Composição da frota (tipologia do veículo)</t>
    </r>
  </si>
  <si>
    <t xml:space="preserve">Classe do veículo</t>
  </si>
  <si>
    <t xml:space="preserve">Sem ar condicionado</t>
  </si>
  <si>
    <t xml:space="preserve">Com ar condicionado</t>
  </si>
  <si>
    <t xml:space="preserve">Sem transmissão automática</t>
  </si>
  <si>
    <t xml:space="preserve">Com transmissão automática</t>
  </si>
  <si>
    <t xml:space="preserve">Novo</t>
  </si>
  <si>
    <t xml:space="preserve">Semi Novo</t>
  </si>
  <si>
    <t xml:space="preserve">1.3.2.b Composição da frota (classe e idade do veículo)</t>
  </si>
  <si>
    <t xml:space="preserve">Idade do veículo</t>
  </si>
  <si>
    <t xml:space="preserve">Microônibus </t>
  </si>
  <si>
    <t xml:space="preserve">8+</t>
  </si>
  <si>
    <r>
      <rPr>
        <b val="true"/>
        <sz val="11"/>
        <rFont val="Calibri"/>
        <family val="2"/>
        <charset val="1"/>
      </rPr>
      <t xml:space="preserve">1.3.2.</t>
    </r>
    <r>
      <rPr>
        <b val="true"/>
        <i val="true"/>
        <sz val="11"/>
        <rFont val="Calibri"/>
        <family val="2"/>
        <charset val="1"/>
      </rPr>
      <t xml:space="preserve">c</t>
    </r>
    <r>
      <rPr>
        <b val="true"/>
        <sz val="11"/>
        <rFont val="Calibri"/>
        <family val="2"/>
        <charset val="1"/>
      </rPr>
      <t xml:space="preserve"> Composição da frota (veículos de apoio)</t>
    </r>
  </si>
  <si>
    <t xml:space="preserve">Classificação do veículo</t>
  </si>
  <si>
    <t xml:space="preserve">Frota</t>
  </si>
  <si>
    <t xml:space="preserve">Caminhão-oficina</t>
  </si>
  <si>
    <t xml:space="preserve">Caminhão-guincho</t>
  </si>
  <si>
    <t xml:space="preserve">Caminhoneta</t>
  </si>
  <si>
    <t xml:space="preserve">Automóvel (básico)</t>
  </si>
  <si>
    <t xml:space="preserve">Motocicleta</t>
  </si>
  <si>
    <t xml:space="preserve">1.4 Indicadores</t>
  </si>
  <si>
    <t xml:space="preserve">1.4.1. Índice de Passageiros por Quilômetro (IPK)</t>
  </si>
  <si>
    <t xml:space="preserve">1.4.1.1</t>
  </si>
  <si>
    <t xml:space="preserve">Tarifa pública de preponderante vigente (TPU)</t>
  </si>
  <si>
    <t xml:space="preserve">R$</t>
  </si>
  <si>
    <t xml:space="preserve">1.4.1.2</t>
  </si>
  <si>
    <t xml:space="preserve">Receita média mensal total do sistema (RT)</t>
  </si>
  <si>
    <t xml:space="preserve">R$/mês</t>
  </si>
  <si>
    <t xml:space="preserve">1.4.1.3</t>
  </si>
  <si>
    <t xml:space="preserve">Média mensal de passageiros transportados (PT)</t>
  </si>
  <si>
    <t xml:space="preserve">passageiros/mês</t>
  </si>
  <si>
    <t xml:space="preserve">1.4.1.4</t>
  </si>
  <si>
    <t xml:space="preserve">Média mensal de passageiros pagantes equivalentes (PE)</t>
  </si>
  <si>
    <t xml:space="preserve">1.4.1.5</t>
  </si>
  <si>
    <t xml:space="preserve">Média mensal da quilometragem programada (KP)</t>
  </si>
  <si>
    <t xml:space="preserve">km/mês</t>
  </si>
  <si>
    <t xml:space="preserve">1.4.1.6</t>
  </si>
  <si>
    <t xml:space="preserve">Índice de passageiro por quilômetro (IPK)</t>
  </si>
  <si>
    <t xml:space="preserve">pass./km</t>
  </si>
  <si>
    <t xml:space="preserve">1.4.1.7</t>
  </si>
  <si>
    <t xml:space="preserve">Índice de passageiro equivalentes por quilômetro (IPKe)</t>
  </si>
  <si>
    <t xml:space="preserve">1.4.2. Percurso Médio Mensal (PMM)</t>
  </si>
  <si>
    <t xml:space="preserve">1.4.2.1</t>
  </si>
  <si>
    <t xml:space="preserve">Frota total=</t>
  </si>
  <si>
    <t xml:space="preserve">ônibus</t>
  </si>
  <si>
    <t xml:space="preserve">1.4.2.2</t>
  </si>
  <si>
    <t xml:space="preserve">Frota operante =</t>
  </si>
  <si>
    <t xml:space="preserve">x FT</t>
  </si>
  <si>
    <t xml:space="preserve">1.4.2.3</t>
  </si>
  <si>
    <t xml:space="preserve">Frota funcional =</t>
  </si>
  <si>
    <t xml:space="preserve">1.4.2.4</t>
  </si>
  <si>
    <t xml:space="preserve">Percurso Médio Mensal</t>
  </si>
  <si>
    <t xml:space="preserve">km/veículo</t>
  </si>
  <si>
    <t xml:space="preserve">1.4.3. Passageiros Transportados por Veículos por Dia (PVD)</t>
  </si>
  <si>
    <t xml:space="preserve">1.4.3.1</t>
  </si>
  <si>
    <t xml:space="preserve">Periodo de análise N (em dias)</t>
  </si>
  <si>
    <t xml:space="preserve">dias</t>
  </si>
  <si>
    <t xml:space="preserve">1.4.3.2</t>
  </si>
  <si>
    <t xml:space="preserve">Passageiros transportados por dia</t>
  </si>
  <si>
    <t xml:space="preserve">Pass/veículo/dia</t>
  </si>
  <si>
    <t xml:space="preserve">1.4.4. Passageiros Equivalentes por Veículos (PMV)</t>
  </si>
  <si>
    <t xml:space="preserve">1.4.4.1</t>
  </si>
  <si>
    <t xml:space="preserve">Passageiros equivalentes por veículo</t>
  </si>
  <si>
    <t xml:space="preserve">pass/veículo/mês</t>
  </si>
  <si>
    <t xml:space="preserve">2.1.a Consumo de Combustível</t>
  </si>
  <si>
    <t xml:space="preserve">Consultar a aba A.III.Combustível</t>
  </si>
  <si>
    <t xml:space="preserve">2.1.a.i</t>
  </si>
  <si>
    <t xml:space="preserve">Consolidado:</t>
  </si>
  <si>
    <r>
      <rPr>
        <b val="true"/>
        <i val="true"/>
        <sz val="10"/>
        <rFont val="Calibri"/>
        <family val="2"/>
        <charset val="1"/>
      </rPr>
      <t xml:space="preserve">(ir para o item </t>
    </r>
    <r>
      <rPr>
        <b val="true"/>
        <sz val="10"/>
        <rFont val="Calibri"/>
        <family val="2"/>
        <charset val="1"/>
      </rPr>
      <t xml:space="preserve">2.1.a.ii</t>
    </r>
    <r>
      <rPr>
        <b val="true"/>
        <i val="true"/>
        <sz val="10"/>
        <rFont val="Calibri"/>
        <family val="2"/>
        <charset val="1"/>
      </rPr>
      <t xml:space="preserve">)</t>
    </r>
  </si>
  <si>
    <t xml:space="preserve">(ir para o item 2.1.a.iii)</t>
  </si>
  <si>
    <t xml:space="preserve">2.1.a.ii Consumo σz (l/km) para cada tipo de veículo (consolidado)</t>
  </si>
  <si>
    <t xml:space="preserve">2.1.a.iii  Quantidade de combustível utilizada por tipo de veículo (detalhado)</t>
  </si>
  <si>
    <t xml:space="preserve">2.1.a.iv  Quantidade de quilometros percorridos por tipo de veículo (detalhado)</t>
  </si>
  <si>
    <t xml:space="preserve">2.1.a.v  Consumo σz (l/km) para cada tipo de veículo (detalhado)</t>
  </si>
  <si>
    <t xml:space="preserve">2.1.a.vi</t>
  </si>
  <si>
    <r>
      <rPr>
        <b val="true"/>
        <i val="true"/>
        <sz val="11"/>
        <rFont val="Calibri"/>
        <family val="2"/>
        <charset val="1"/>
      </rPr>
      <t xml:space="preserve">KPz:</t>
    </r>
    <r>
      <rPr>
        <b val="true"/>
        <sz val="11"/>
        <rFont val="Calibri"/>
        <family val="2"/>
        <charset val="1"/>
      </rPr>
      <t xml:space="preserve"> média mensal da quilometragem programada para cada tipo de veículo</t>
    </r>
  </si>
  <si>
    <t xml:space="preserve">Verificar seção 1.2 do Capítulo 1 </t>
  </si>
  <si>
    <t xml:space="preserve">2.1.a.vii  Consumo total para cada tipo de veículo</t>
  </si>
  <si>
    <t xml:space="preserve">Consumo total / mês</t>
  </si>
  <si>
    <t xml:space="preserve">litros</t>
  </si>
  <si>
    <t xml:space="preserve">2.1.b Cálculo do Valor do Veículo Básico (VEC[básico])</t>
  </si>
  <si>
    <t xml:space="preserve">2.1.b.i</t>
  </si>
  <si>
    <r>
      <rPr>
        <b val="true"/>
        <i val="true"/>
        <sz val="11"/>
        <rFont val="Calibri"/>
        <family val="2"/>
        <charset val="1"/>
      </rPr>
      <t xml:space="preserve">Valor do veículo novo por classe de veículo (VEC</t>
    </r>
    <r>
      <rPr>
        <b val="true"/>
        <i val="true"/>
        <sz val="8"/>
        <rFont val="Calibri"/>
        <family val="2"/>
        <charset val="1"/>
      </rPr>
      <t xml:space="preserve">z</t>
    </r>
    <r>
      <rPr>
        <b val="true"/>
        <i val="true"/>
        <sz val="11"/>
        <rFont val="Calibri"/>
        <family val="2"/>
        <charset val="1"/>
      </rPr>
      <t xml:space="preserve">)</t>
    </r>
  </si>
  <si>
    <t xml:space="preserve">2.1.b.ii</t>
  </si>
  <si>
    <t xml:space="preserve">Valor do investimento (veículos de apoio )</t>
  </si>
  <si>
    <t xml:space="preserve">Valor do veículo</t>
  </si>
  <si>
    <t xml:space="preserve">2.1.b.iii</t>
  </si>
  <si>
    <t xml:space="preserve">Nominador para ponderação do VEC</t>
  </si>
  <si>
    <t xml:space="preserve">2.1.b.iv</t>
  </si>
  <si>
    <t xml:space="preserve">Denominador para ponderação do VEC</t>
  </si>
  <si>
    <t xml:space="preserve">2.1.b.v</t>
  </si>
  <si>
    <t xml:space="preserve">Valor do veículo novo por classe de veículo sem rodagem (VECz[Ø])</t>
  </si>
  <si>
    <t xml:space="preserve">VEC</t>
  </si>
  <si>
    <r>
      <rPr>
        <b val="true"/>
        <sz val="16"/>
        <color rgb="FFFFFFFF"/>
        <rFont val="Calibri"/>
        <family val="2"/>
        <charset val="1"/>
      </rPr>
      <t xml:space="preserve">VEC</t>
    </r>
    <r>
      <rPr>
        <b val="true"/>
        <sz val="11"/>
        <color rgb="FFFFFFFF"/>
        <rFont val="Calibri"/>
        <family val="2"/>
        <charset val="1"/>
      </rPr>
      <t xml:space="preserve">[básico]</t>
    </r>
  </si>
  <si>
    <t xml:space="preserve"> </t>
  </si>
  <si>
    <r>
      <rPr>
        <i val="true"/>
        <sz val="10"/>
        <color rgb="FFFF0000"/>
        <rFont val="Arial"/>
        <family val="2"/>
        <charset val="1"/>
      </rPr>
      <t xml:space="preserve">¹ Deve-se preencher todas as celulas abaixo. Se não houver investimentos em determinados itens ou taxas e tributos, por exemplo, </t>
    </r>
    <r>
      <rPr>
        <b val="true"/>
        <i val="true"/>
        <sz val="10"/>
        <color rgb="FFFF0000"/>
        <rFont val="Arial"/>
        <family val="2"/>
        <charset val="1"/>
      </rPr>
      <t xml:space="preserve">preenche-se com o valor zero</t>
    </r>
    <r>
      <rPr>
        <i val="true"/>
        <sz val="10"/>
        <color rgb="FFFF0000"/>
        <rFont val="Arial"/>
        <family val="2"/>
        <charset val="1"/>
      </rPr>
      <t xml:space="preserve">. Caso a celula não seja preenchida com alguma valor adotar-se-á os valores de referência para o respectivo item </t>
    </r>
  </si>
  <si>
    <t xml:space="preserve">² Os valores de referência para os insumos abaixo estão descritos no Capítulo 3 da publicação "Cálculo dos Custos dos Serviços de Transporte Coletivo Urbano por Ônibus"</t>
  </si>
  <si>
    <t xml:space="preserve">Instrução de preenchimento</t>
  </si>
  <si>
    <t xml:space="preserve">3.1.</t>
  </si>
  <si>
    <t xml:space="preserve">Óleo diesel (OLD)</t>
  </si>
  <si>
    <t xml:space="preserve">3.1.1</t>
  </si>
  <si>
    <t xml:space="preserve">Preço do óleo diesel .....................................................</t>
  </si>
  <si>
    <t xml:space="preserve">R$/litro</t>
  </si>
  <si>
    <t xml:space="preserve">Pesquisa de mercado</t>
  </si>
  <si>
    <t xml:space="preserve">3.2.</t>
  </si>
  <si>
    <t xml:space="preserve">Lubrificantes (CLB)</t>
  </si>
  <si>
    <t xml:space="preserve">3.2.1</t>
  </si>
  <si>
    <t xml:space="preserve">Coeficiente de correlação do consumo de lubrificante relacionado ao consumo de óleo diesel ..........................</t>
  </si>
  <si>
    <t xml:space="preserve">litro/km</t>
  </si>
  <si>
    <t xml:space="preserve">Buscar valor na aba A.IV - Lubrificantes </t>
  </si>
  <si>
    <t xml:space="preserve">3.3.</t>
  </si>
  <si>
    <t xml:space="preserve">ARLA 32 (ARL)</t>
  </si>
  <si>
    <t xml:space="preserve">3.3.1</t>
  </si>
  <si>
    <t xml:space="preserve">Preço do Arla 32 ..........................................................</t>
  </si>
  <si>
    <t xml:space="preserve">3.3.2</t>
  </si>
  <si>
    <t xml:space="preserve">Coeficiente de correlação do consumo do ARLA 32 relacionado ao preço do óleo diesel ...............................</t>
  </si>
  <si>
    <t xml:space="preserve">adimensional</t>
  </si>
  <si>
    <t xml:space="preserve">Buscar valor no Anexo V</t>
  </si>
  <si>
    <t xml:space="preserve">3.4.</t>
  </si>
  <si>
    <t xml:space="preserve">Rodagem (ROD)</t>
  </si>
  <si>
    <t xml:space="preserve">Verificar Anexo VI</t>
  </si>
  <si>
    <t xml:space="preserve">3.4.1</t>
  </si>
  <si>
    <t xml:space="preserve">Preço do pneu novo</t>
  </si>
  <si>
    <t xml:space="preserve">215/75 R17,6 ..............................</t>
  </si>
  <si>
    <t xml:space="preserve">R$/unidade</t>
  </si>
  <si>
    <t xml:space="preserve">275/80 R22,6 ..............................</t>
  </si>
  <si>
    <t xml:space="preserve">295/80 R22,6 ..............................</t>
  </si>
  <si>
    <t xml:space="preserve">3.4.2</t>
  </si>
  <si>
    <t xml:space="preserve">Preço da recapagem</t>
  </si>
  <si>
    <t xml:space="preserve">3.5</t>
  </si>
  <si>
    <t xml:space="preserve">Custos Ambientais (CAB)</t>
  </si>
  <si>
    <t xml:space="preserve">3.5.1</t>
  </si>
  <si>
    <t xml:space="preserve">Fator de correlação entre os custos ambientais e o preço médio do ônibus básico novo ...............................</t>
  </si>
  <si>
    <t xml:space="preserve">Buscar valor no Anexo VIII</t>
  </si>
  <si>
    <t xml:space="preserve">3.6</t>
  </si>
  <si>
    <t xml:space="preserve">Veículo (VEC)</t>
  </si>
  <si>
    <t xml:space="preserve">3.6.1</t>
  </si>
  <si>
    <t xml:space="preserve">Preço médio ônibus básico novo .........................</t>
  </si>
  <si>
    <t xml:space="preserve">R$/veículo</t>
  </si>
  <si>
    <t xml:space="preserve">Buscar valor na aba 4.7.1.VEC</t>
  </si>
  <si>
    <t xml:space="preserve">3.7</t>
  </si>
  <si>
    <t xml:space="preserve">Salários e benefícios (SAB)</t>
  </si>
  <si>
    <t xml:space="preserve">3.7.1</t>
  </si>
  <si>
    <r>
      <rPr>
        <i val="true"/>
        <sz val="10"/>
        <rFont val="Arial"/>
        <family val="2"/>
        <charset val="1"/>
      </rPr>
      <t xml:space="preserve">Salário do Motorista (SAL</t>
    </r>
    <r>
      <rPr>
        <i val="true"/>
        <sz val="8"/>
        <rFont val="Arial"/>
        <family val="2"/>
        <charset val="1"/>
      </rPr>
      <t xml:space="preserve">mot</t>
    </r>
    <r>
      <rPr>
        <i val="true"/>
        <sz val="10"/>
        <rFont val="Arial"/>
        <family val="2"/>
        <charset val="1"/>
      </rPr>
      <t xml:space="preserve">) .......................................</t>
    </r>
  </si>
  <si>
    <t xml:space="preserve">Valor praticado</t>
  </si>
  <si>
    <t xml:space="preserve">3.7.2</t>
  </si>
  <si>
    <r>
      <rPr>
        <i val="true"/>
        <sz val="10"/>
        <rFont val="Arial"/>
        <family val="2"/>
        <charset val="1"/>
      </rPr>
      <t xml:space="preserve">Salário do Cobrador/Terminal (SAL</t>
    </r>
    <r>
      <rPr>
        <i val="true"/>
        <sz val="8"/>
        <rFont val="Arial"/>
        <family val="2"/>
        <charset val="1"/>
      </rPr>
      <t xml:space="preserve">cob</t>
    </r>
    <r>
      <rPr>
        <i val="true"/>
        <sz val="10"/>
        <rFont val="Arial"/>
        <family val="2"/>
        <charset val="1"/>
      </rPr>
      <t xml:space="preserve">) .......................................</t>
    </r>
  </si>
  <si>
    <t xml:space="preserve">3.7.3</t>
  </si>
  <si>
    <r>
      <rPr>
        <i val="true"/>
        <sz val="10"/>
        <rFont val="Arial"/>
        <family val="2"/>
        <charset val="1"/>
      </rPr>
      <t xml:space="preserve">Salário do Mecânico (SAL</t>
    </r>
    <r>
      <rPr>
        <i val="true"/>
        <sz val="8"/>
        <rFont val="Arial"/>
        <family val="2"/>
        <charset val="1"/>
      </rPr>
      <t xml:space="preserve">des</t>
    </r>
    <r>
      <rPr>
        <i val="true"/>
        <sz val="10"/>
        <rFont val="Arial"/>
        <family val="2"/>
        <charset val="1"/>
      </rPr>
      <t xml:space="preserve">) .................................</t>
    </r>
  </si>
  <si>
    <t xml:space="preserve">3.7.4</t>
  </si>
  <si>
    <t xml:space="preserve">Salário do Encarregado (SAL enc) .................................</t>
  </si>
  <si>
    <t xml:space="preserve">3.7.5</t>
  </si>
  <si>
    <r>
      <rPr>
        <i val="true"/>
        <sz val="10"/>
        <rFont val="Arial"/>
        <family val="2"/>
        <charset val="1"/>
      </rPr>
      <t xml:space="preserve">Benefícios do Motorista (BEN</t>
    </r>
    <r>
      <rPr>
        <i val="true"/>
        <sz val="8"/>
        <rFont val="Arial"/>
        <family val="2"/>
        <charset val="1"/>
      </rPr>
      <t xml:space="preserve">mot</t>
    </r>
    <r>
      <rPr>
        <i val="true"/>
        <sz val="10"/>
        <rFont val="Arial"/>
        <family val="2"/>
        <charset val="1"/>
      </rPr>
      <t xml:space="preserve">) .................................</t>
    </r>
  </si>
  <si>
    <t xml:space="preserve">3.7.6</t>
  </si>
  <si>
    <r>
      <rPr>
        <i val="true"/>
        <sz val="10"/>
        <rFont val="Arial"/>
        <family val="2"/>
        <charset val="1"/>
      </rPr>
      <t xml:space="preserve">Benefícios do Cobrador/Terminal (BEN</t>
    </r>
    <r>
      <rPr>
        <i val="true"/>
        <sz val="8"/>
        <rFont val="Arial"/>
        <family val="2"/>
        <charset val="1"/>
      </rPr>
      <t xml:space="preserve">cob</t>
    </r>
    <r>
      <rPr>
        <i val="true"/>
        <sz val="10"/>
        <rFont val="Arial"/>
        <family val="2"/>
        <charset val="1"/>
      </rPr>
      <t xml:space="preserve">) .................................</t>
    </r>
  </si>
  <si>
    <t xml:space="preserve">3.7.7</t>
  </si>
  <si>
    <r>
      <rPr>
        <i val="true"/>
        <sz val="10"/>
        <rFont val="Arial"/>
        <family val="2"/>
        <charset val="1"/>
      </rPr>
      <t xml:space="preserve">Benefícios do Mecânico (BEN</t>
    </r>
    <r>
      <rPr>
        <i val="true"/>
        <sz val="8"/>
        <rFont val="Arial"/>
        <family val="2"/>
        <charset val="1"/>
      </rPr>
      <t xml:space="preserve">des</t>
    </r>
    <r>
      <rPr>
        <i val="true"/>
        <sz val="10"/>
        <rFont val="Arial"/>
        <family val="2"/>
        <charset val="1"/>
      </rPr>
      <t xml:space="preserve">) ...........................</t>
    </r>
  </si>
  <si>
    <t xml:space="preserve">3.7.8</t>
  </si>
  <si>
    <t xml:space="preserve">Benefícios do Encarregado (BEN enc) ...........................</t>
  </si>
  <si>
    <t xml:space="preserve">3.7.9</t>
  </si>
  <si>
    <r>
      <rPr>
        <i val="true"/>
        <sz val="10"/>
        <rFont val="Arial"/>
        <family val="2"/>
        <charset val="1"/>
      </rPr>
      <t xml:space="preserve">Fator de utilização dos Motoristas (FUT</t>
    </r>
    <r>
      <rPr>
        <i val="true"/>
        <sz val="8"/>
        <rFont val="Arial"/>
        <family val="2"/>
        <charset val="1"/>
      </rPr>
      <t xml:space="preserve">mot</t>
    </r>
    <r>
      <rPr>
        <i val="true"/>
        <sz val="10"/>
        <rFont val="Arial"/>
        <family val="2"/>
        <charset val="1"/>
      </rPr>
      <t xml:space="preserve">) ..................</t>
    </r>
  </si>
  <si>
    <t xml:space="preserve">Buscar valor no Anexo XII</t>
  </si>
  <si>
    <t xml:space="preserve">3.7.10</t>
  </si>
  <si>
    <r>
      <rPr>
        <i val="true"/>
        <sz val="10"/>
        <rFont val="Arial"/>
        <family val="2"/>
        <charset val="1"/>
      </rPr>
      <t xml:space="preserve">Fator de utilização dos Cobrador/Terminal (FUT</t>
    </r>
    <r>
      <rPr>
        <i val="true"/>
        <sz val="8"/>
        <rFont val="Arial"/>
        <family val="2"/>
        <charset val="1"/>
      </rPr>
      <t xml:space="preserve">cob</t>
    </r>
    <r>
      <rPr>
        <i val="true"/>
        <sz val="10"/>
        <rFont val="Arial"/>
        <family val="2"/>
        <charset val="1"/>
      </rPr>
      <t xml:space="preserve">) ................</t>
    </r>
  </si>
  <si>
    <t xml:space="preserve">3.7.11</t>
  </si>
  <si>
    <r>
      <rPr>
        <i val="true"/>
        <sz val="10"/>
        <rFont val="Arial"/>
        <family val="2"/>
        <charset val="1"/>
      </rPr>
      <t xml:space="preserve">Fator de utilização dos Mecânico (FUT</t>
    </r>
    <r>
      <rPr>
        <i val="true"/>
        <sz val="8"/>
        <rFont val="Arial"/>
        <family val="2"/>
        <charset val="1"/>
      </rPr>
      <t xml:space="preserve">des</t>
    </r>
    <r>
      <rPr>
        <i val="true"/>
        <sz val="10"/>
        <rFont val="Arial"/>
        <family val="2"/>
        <charset val="1"/>
      </rPr>
      <t xml:space="preserve">) .............</t>
    </r>
  </si>
  <si>
    <t xml:space="preserve">3.7.12</t>
  </si>
  <si>
    <t xml:space="preserve">Fator de utilização dos Encarregado (FUT enc).......................</t>
  </si>
  <si>
    <t xml:space="preserve">3.7.13</t>
  </si>
  <si>
    <r>
      <rPr>
        <i val="true"/>
        <sz val="10"/>
        <rFont val="Arial"/>
        <family val="2"/>
        <charset val="1"/>
      </rPr>
      <t xml:space="preserve">Fator de utilização físico dos Motoristas (FUF</t>
    </r>
    <r>
      <rPr>
        <i val="true"/>
        <sz val="8"/>
        <rFont val="Arial"/>
        <family val="2"/>
        <charset val="1"/>
      </rPr>
      <t xml:space="preserve">mot</t>
    </r>
    <r>
      <rPr>
        <i val="true"/>
        <sz val="10"/>
        <rFont val="Arial"/>
        <family val="2"/>
        <charset val="1"/>
      </rPr>
      <t xml:space="preserve">) ..........</t>
    </r>
  </si>
  <si>
    <t xml:space="preserve">3.7.14</t>
  </si>
  <si>
    <r>
      <rPr>
        <i val="true"/>
        <sz val="10"/>
        <rFont val="Arial"/>
        <family val="2"/>
        <charset val="1"/>
      </rPr>
      <t xml:space="preserve">Fator de utilização físico dos Cobrador/Terminal (FUF</t>
    </r>
    <r>
      <rPr>
        <i val="true"/>
        <sz val="8"/>
        <rFont val="Arial"/>
        <family val="2"/>
        <charset val="1"/>
      </rPr>
      <t xml:space="preserve">cob</t>
    </r>
    <r>
      <rPr>
        <i val="true"/>
        <sz val="10"/>
        <rFont val="Arial"/>
        <family val="2"/>
        <charset val="1"/>
      </rPr>
      <t xml:space="preserve">) ........</t>
    </r>
  </si>
  <si>
    <t xml:space="preserve">3.7.15</t>
  </si>
  <si>
    <r>
      <rPr>
        <i val="true"/>
        <sz val="10"/>
        <rFont val="Arial"/>
        <family val="2"/>
        <charset val="1"/>
      </rPr>
      <t xml:space="preserve">Fator de utilização físico dos Mecânico (FUF</t>
    </r>
    <r>
      <rPr>
        <i val="true"/>
        <sz val="8"/>
        <rFont val="Arial"/>
        <family val="2"/>
        <charset val="1"/>
      </rPr>
      <t xml:space="preserve">des</t>
    </r>
    <r>
      <rPr>
        <i val="true"/>
        <sz val="10"/>
        <rFont val="Arial"/>
        <family val="2"/>
        <charset val="1"/>
      </rPr>
      <t xml:space="preserve">) ....</t>
    </r>
  </si>
  <si>
    <t xml:space="preserve">3.7.16</t>
  </si>
  <si>
    <t xml:space="preserve">Fator de utilização físico dos Encarregados (FUF enc)...............</t>
  </si>
  <si>
    <t xml:space="preserve">3.7.17</t>
  </si>
  <si>
    <t xml:space="preserve">Encargo Social (ECS) ...................................................</t>
  </si>
  <si>
    <t xml:space="preserve">%</t>
  </si>
  <si>
    <t xml:space="preserve">3.7.18</t>
  </si>
  <si>
    <t xml:space="preserve">Despesas  pessoal de manutenção, administrativo e diretoria em relação ao pessoal operacional (Θ) ..............</t>
  </si>
  <si>
    <t xml:space="preserve">Buscar valor no Anexo XIII</t>
  </si>
  <si>
    <t xml:space="preserve">3.8</t>
  </si>
  <si>
    <t xml:space="preserve">Taxas e Seguros</t>
  </si>
  <si>
    <t xml:space="preserve">3.8.1</t>
  </si>
  <si>
    <t xml:space="preserve">Seguro obrigatório por veículo (VAS ) .............................</t>
  </si>
  <si>
    <t xml:space="preserve">R$/ano</t>
  </si>
  <si>
    <t xml:space="preserve">3.8.2</t>
  </si>
  <si>
    <t xml:space="preserve">Taxa de licenciamento por veículo (VAT) ........................</t>
  </si>
  <si>
    <t xml:space="preserve">3.8.3</t>
  </si>
  <si>
    <t xml:space="preserve">Seguro de responsabilidade civil facultativo (CDR) ..........</t>
  </si>
  <si>
    <t xml:space="preserve">3.8.4</t>
  </si>
  <si>
    <t xml:space="preserve">IPVA ...........................................................................</t>
  </si>
  <si>
    <t xml:space="preserve">3.9</t>
  </si>
  <si>
    <t xml:space="preserve">Infraestrutura</t>
  </si>
  <si>
    <t xml:space="preserve">3.9.1</t>
  </si>
  <si>
    <t xml:space="preserve">Tempo de contrato a partir da data de realização do investimento (DUC) ......................................................</t>
  </si>
  <si>
    <t xml:space="preserve">anos</t>
  </si>
  <si>
    <t xml:space="preserve">3.9.2</t>
  </si>
  <si>
    <t xml:space="preserve">Valor do investimento em infraestrutura (VIN) .................</t>
  </si>
  <si>
    <t xml:space="preserve">3.9.3</t>
  </si>
  <si>
    <t xml:space="preserve">Vida útil da infraestrutura(VUI)</t>
  </si>
  <si>
    <t xml:space="preserve">3.9.4</t>
  </si>
  <si>
    <t xml:space="preserve"> Estoque equivalente do almoxarifado.................................</t>
  </si>
  <si>
    <t xml:space="preserve">meses</t>
  </si>
  <si>
    <t xml:space="preserve">3.10</t>
  </si>
  <si>
    <t xml:space="preserve">Taxa de Remuneração do Capital (TRC)</t>
  </si>
  <si>
    <t xml:space="preserve">3.10.1</t>
  </si>
  <si>
    <t xml:space="preserve">Taxa do Sistema Especial de Liquidação e de Custódia (SELIC)..</t>
  </si>
  <si>
    <t xml:space="preserve">3.10.2</t>
  </si>
  <si>
    <t xml:space="preserve"> Índice Nacional de Preços ao Consumidor Amplo (IPCA)...........</t>
  </si>
  <si>
    <t xml:space="preserve">3.10.3</t>
  </si>
  <si>
    <t xml:space="preserve">3.11</t>
  </si>
  <si>
    <t xml:space="preserve">Capital investido em terrenos, edificações e equipamentos de garagem</t>
  </si>
  <si>
    <t xml:space="preserve">3.11.1</t>
  </si>
  <si>
    <t xml:space="preserve">Custos de investimento no terreno (CIT) .........................</t>
  </si>
  <si>
    <t xml:space="preserve">3.11.2</t>
  </si>
  <si>
    <t xml:space="preserve">Valor investido em edificações (CIE) ..............................</t>
  </si>
  <si>
    <t xml:space="preserve">3.11.3</t>
  </si>
  <si>
    <t xml:space="preserve">Vida Útil das Edificações (VUE)</t>
  </si>
  <si>
    <t xml:space="preserve">Buscar valor no Anexo IX</t>
  </si>
  <si>
    <t xml:space="preserve">3.11.4</t>
  </si>
  <si>
    <t xml:space="preserve">Valor Residual das Edificações (VRE)</t>
  </si>
  <si>
    <t xml:space="preserve">3.11.5</t>
  </si>
  <si>
    <t xml:space="preserve">Valor investido em equipamentos de garagem (CIG) ........</t>
  </si>
  <si>
    <t xml:space="preserve">3.11.6</t>
  </si>
  <si>
    <t xml:space="preserve">Vida Útil dos equipamentos de garagem (VUQ)</t>
  </si>
  <si>
    <t xml:space="preserve">3.11.7</t>
  </si>
  <si>
    <t xml:space="preserve">Vida residual dos equipamentos de garagem (VRG)</t>
  </si>
  <si>
    <t xml:space="preserve">3.11.8</t>
  </si>
  <si>
    <t xml:space="preserve">Valor investido em equipamentos de bilhetagem e ITS  (CEB)</t>
  </si>
  <si>
    <t xml:space="preserve">3.11.9</t>
  </si>
  <si>
    <t xml:space="preserve"> Vida útil dos equipamentos de bilhetagem e ITS (VUB)</t>
  </si>
  <si>
    <t xml:space="preserve">3.11.10</t>
  </si>
  <si>
    <t xml:space="preserve"> Valor residual dos equipamentos de bilhetagem e ITS (VRB)</t>
  </si>
  <si>
    <t xml:space="preserve">3.12</t>
  </si>
  <si>
    <t xml:space="preserve">Serviços de terceiros, compartilhados e locações</t>
  </si>
  <si>
    <t xml:space="preserve">3.12.1</t>
  </si>
  <si>
    <t xml:space="preserve">Despesas de Comercialização, serviços prestados em terminais/estações de transferência e centrais de controle da operação (CCM) .......................................................</t>
  </si>
  <si>
    <t xml:space="preserve">3.12.2</t>
  </si>
  <si>
    <t xml:space="preserve">Valor anual da locação por equipamento locado por veículo (QL) .................................................................</t>
  </si>
  <si>
    <t xml:space="preserve">R$/veículo/ano</t>
  </si>
  <si>
    <t xml:space="preserve">3.12.3</t>
  </si>
  <si>
    <t xml:space="preserve">Valor anual da locação de cada conjunto de equipamentos (QEL)......................................................</t>
  </si>
  <si>
    <t xml:space="preserve">3.12.4</t>
  </si>
  <si>
    <t xml:space="preserve">Quantidade de conjuntos de equipamentos locados (QEQ) .........................................................................</t>
  </si>
  <si>
    <t xml:space="preserve">unidades</t>
  </si>
  <si>
    <t xml:space="preserve">3.12.5</t>
  </si>
  <si>
    <t xml:space="preserve">Locação de garagem (CLG) ...........................................</t>
  </si>
  <si>
    <t xml:space="preserve">3.12.6</t>
  </si>
  <si>
    <t xml:space="preserve">Locação de Veículo de Apoio (CLA)...........</t>
  </si>
  <si>
    <t xml:space="preserve">3.13</t>
  </si>
  <si>
    <t xml:space="preserve">Taxa de remuneração do serviço (RPS) </t>
  </si>
  <si>
    <t xml:space="preserve">3.13.1</t>
  </si>
  <si>
    <t xml:space="preserve">Taxa de remuneração do serviço (RPS)  ......................</t>
  </si>
  <si>
    <t xml:space="preserve">Buscar valor no Anexo XV</t>
  </si>
  <si>
    <t xml:space="preserve">3.14</t>
  </si>
  <si>
    <t xml:space="preserve">Despesas gerais (CDG)................................................................................</t>
  </si>
  <si>
    <t xml:space="preserve">Buscar valor no Anexo XVI</t>
  </si>
  <si>
    <t xml:space="preserve">3.15</t>
  </si>
  <si>
    <t xml:space="preserve">Tributos Diretos (TRD)</t>
  </si>
  <si>
    <t xml:space="preserve">3.15.1</t>
  </si>
  <si>
    <t xml:space="preserve">Imposto sobre serviços de qualquer natureza (ISSQN) ....</t>
  </si>
  <si>
    <t xml:space="preserve">3.15.2</t>
  </si>
  <si>
    <t xml:space="preserve">Programa de integração social (PIS) ..............................</t>
  </si>
  <si>
    <t xml:space="preserve">3.15.3</t>
  </si>
  <si>
    <t xml:space="preserve">Contribuição para o financiamento da seguridade social (COFINS) ....................................................................</t>
  </si>
  <si>
    <t xml:space="preserve">3.15.4</t>
  </si>
  <si>
    <t xml:space="preserve">Contribuição Social ...........</t>
  </si>
  <si>
    <t xml:space="preserve">3.15.5</t>
  </si>
  <si>
    <t xml:space="preserve">INSS ...........................................................................</t>
  </si>
  <si>
    <t xml:space="preserve">3.15.6</t>
  </si>
  <si>
    <t xml:space="preserve">ICMS ...........................................................................</t>
  </si>
  <si>
    <t xml:space="preserve">3.15.7</t>
  </si>
  <si>
    <t xml:space="preserve">Outros tributos - IRR .............................................................</t>
  </si>
  <si>
    <t xml:space="preserve">Subsídio (SUB)</t>
  </si>
  <si>
    <t xml:space="preserve">Subsídio mensal para custeio da tarifa..........................................</t>
  </si>
  <si>
    <t xml:space="preserve">2.1</t>
  </si>
  <si>
    <t xml:space="preserve">Custo Variável</t>
  </si>
  <si>
    <t xml:space="preserve">2.1.1</t>
  </si>
  <si>
    <t xml:space="preserve">Combustível (CMB)</t>
  </si>
  <si>
    <t xml:space="preserve">2.1.2</t>
  </si>
  <si>
    <t xml:space="preserve">2.1.3</t>
  </si>
  <si>
    <t xml:space="preserve">ARLA 32 (CAR)</t>
  </si>
  <si>
    <t xml:space="preserve">2.1.4</t>
  </si>
  <si>
    <t xml:space="preserve">Rodagem (CRD)</t>
  </si>
  <si>
    <t xml:space="preserve">2.1.5</t>
  </si>
  <si>
    <t xml:space="preserve">Peças e Acessórios (CPA)</t>
  </si>
  <si>
    <t xml:space="preserve">2.1.6</t>
  </si>
  <si>
    <t xml:space="preserve">2.2</t>
  </si>
  <si>
    <t xml:space="preserve">Custo Fixo</t>
  </si>
  <si>
    <t xml:space="preserve">2.2.1.</t>
  </si>
  <si>
    <t xml:space="preserve">Depreciação (CDP)</t>
  </si>
  <si>
    <t xml:space="preserve">2.2.1.1</t>
  </si>
  <si>
    <t xml:space="preserve">Veículos (DVE)</t>
  </si>
  <si>
    <t xml:space="preserve">2.2.1.2</t>
  </si>
  <si>
    <t xml:space="preserve">Edificações e equipamentos de garagem (DED)</t>
  </si>
  <si>
    <t xml:space="preserve">2.2.1.3</t>
  </si>
  <si>
    <t xml:space="preserve">Equipamentos de bilhetagem e ITS (DEQ)</t>
  </si>
  <si>
    <t xml:space="preserve">2.2.1.4</t>
  </si>
  <si>
    <t xml:space="preserve">Veículos de apoio (DVA)</t>
  </si>
  <si>
    <t xml:space="preserve">2.2.1.5</t>
  </si>
  <si>
    <t xml:space="preserve">Infraestrutura (DIN)</t>
  </si>
  <si>
    <t xml:space="preserve">2.2.2.</t>
  </si>
  <si>
    <t xml:space="preserve">Remuneração do Capital Imobilizado (CRC)</t>
  </si>
  <si>
    <t xml:space="preserve">2.2.2.1</t>
  </si>
  <si>
    <t xml:space="preserve">Veículos (RVE)</t>
  </si>
  <si>
    <t xml:space="preserve">2.2.2.2</t>
  </si>
  <si>
    <t xml:space="preserve">Terrenos, edificações e equipamentos de garagem (RTE)</t>
  </si>
  <si>
    <t xml:space="preserve">2.2.2.3</t>
  </si>
  <si>
    <t xml:space="preserve">Almoxarifado (RAL)</t>
  </si>
  <si>
    <t xml:space="preserve">2.2.2.4</t>
  </si>
  <si>
    <t xml:space="preserve">Equipamentos de bilhetagem e ITS (REQ)</t>
  </si>
  <si>
    <t xml:space="preserve">2.2.2.5</t>
  </si>
  <si>
    <t xml:space="preserve">Veículos de apoio (RVA)</t>
  </si>
  <si>
    <t xml:space="preserve">2.2.2.6</t>
  </si>
  <si>
    <t xml:space="preserve">Infraestrutura (RIN)</t>
  </si>
  <si>
    <t xml:space="preserve">2.2.3.</t>
  </si>
  <si>
    <t xml:space="preserve">Custos com pessoal (CPS)</t>
  </si>
  <si>
    <t xml:space="preserve">2.2.3.1</t>
  </si>
  <si>
    <t xml:space="preserve">Operação (DOP)</t>
  </si>
  <si>
    <t xml:space="preserve">2.2.3.2</t>
  </si>
  <si>
    <t xml:space="preserve">Pessoal de manutenção, administrativo e diretoria (DMA)</t>
  </si>
  <si>
    <t xml:space="preserve">2.2.4.</t>
  </si>
  <si>
    <t xml:space="preserve">Despesas administrativas (CAD)</t>
  </si>
  <si>
    <t xml:space="preserve">2.2.4.1</t>
  </si>
  <si>
    <t xml:space="preserve">Despesas gerais (CDG)</t>
  </si>
  <si>
    <t xml:space="preserve">2.2.4.2</t>
  </si>
  <si>
    <t xml:space="preserve">Seguro obrigatório e taxa de licenciamento (CDS)</t>
  </si>
  <si>
    <t xml:space="preserve">2.2.4.3</t>
  </si>
  <si>
    <t xml:space="preserve">Seguro de responsabilidade civil facultativo (CDR)</t>
  </si>
  <si>
    <t xml:space="preserve">2.2.4.4</t>
  </si>
  <si>
    <t xml:space="preserve">IPVA</t>
  </si>
  <si>
    <t xml:space="preserve">2.2.4.5</t>
  </si>
  <si>
    <t xml:space="preserve">Outras despesas operacionais (CCM)</t>
  </si>
  <si>
    <t xml:space="preserve">2.2.5.</t>
  </si>
  <si>
    <t xml:space="preserve">Locação dos equipamentos e sistemas de bilhetagem e ITS (CLQ)</t>
  </si>
  <si>
    <t xml:space="preserve">2.2.6.</t>
  </si>
  <si>
    <t xml:space="preserve">Locação de garagem (CLG)</t>
  </si>
  <si>
    <t xml:space="preserve">2.2.7.</t>
  </si>
  <si>
    <t xml:space="preserve">Locação de Veículos de Apoio (CLA)</t>
  </si>
  <si>
    <t xml:space="preserve">2.3</t>
  </si>
  <si>
    <t xml:space="preserve">Remuneração da prestação dos serviços (RPS)</t>
  </si>
  <si>
    <t xml:space="preserve">2.3.1.</t>
  </si>
  <si>
    <t xml:space="preserve">2.3.2.</t>
  </si>
  <si>
    <t xml:space="preserve">4.1</t>
  </si>
  <si>
    <t xml:space="preserve">Custo por Passageiro Transportado</t>
  </si>
  <si>
    <t xml:space="preserve">4.3.1</t>
  </si>
  <si>
    <t xml:space="preserve">Custo total</t>
  </si>
  <si>
    <t xml:space="preserve">4.3.2</t>
  </si>
  <si>
    <t xml:space="preserve">Passageiros transportados</t>
  </si>
  <si>
    <t xml:space="preserve">4.2</t>
  </si>
  <si>
    <t xml:space="preserve">Tarifa Pública</t>
  </si>
  <si>
    <t xml:space="preserve">4.2.1</t>
  </si>
  <si>
    <t xml:space="preserve">4.2.2</t>
  </si>
  <si>
    <t xml:space="preserve">Passageiros pagantes</t>
  </si>
  <si>
    <t xml:space="preserve">4.2.3</t>
  </si>
  <si>
    <t xml:space="preserve">Subsídio</t>
  </si>
  <si>
    <t xml:space="preserve">4.</t>
  </si>
  <si>
    <t xml:space="preserve">Cálculo do custo total mensal com impostos e tributos (CT)</t>
  </si>
  <si>
    <t xml:space="preserve">2.4</t>
  </si>
  <si>
    <t xml:space="preserve">Tributos Diretos (ITR)</t>
  </si>
  <si>
    <t xml:space="preserve">QUADRO RESUMO DOS CUSTOS (R$/MÊS)</t>
  </si>
  <si>
    <t xml:space="preserve">DESCRIÇÃO</t>
  </si>
  <si>
    <t xml:space="preserve">VALOR MENSAL</t>
  </si>
  <si>
    <t xml:space="preserve">CUSTO/KM</t>
  </si>
  <si>
    <t xml:space="preserve">CUSTO/VEÍCULO</t>
  </si>
  <si>
    <t xml:space="preserve">% Custo Total</t>
  </si>
  <si>
    <t xml:space="preserve">CUSTOS VARIÁVEIS</t>
  </si>
  <si>
    <r>
      <rPr>
        <sz val="10"/>
        <rFont val="Calibri"/>
        <family val="2"/>
        <charset val="1"/>
      </rPr>
      <t xml:space="preserve">Combustível (</t>
    </r>
    <r>
      <rPr>
        <i val="true"/>
        <sz val="10"/>
        <rFont val="Calibri"/>
        <family val="2"/>
        <charset val="1"/>
      </rPr>
      <t xml:space="preserve">CMB</t>
    </r>
    <r>
      <rPr>
        <sz val="10"/>
        <rFont val="Calibri"/>
        <family val="2"/>
        <charset val="1"/>
      </rPr>
      <t xml:space="preserve">).........................................................................................................................</t>
    </r>
  </si>
  <si>
    <r>
      <rPr>
        <sz val="10"/>
        <rFont val="Calibri"/>
        <family val="2"/>
        <charset val="1"/>
      </rPr>
      <t xml:space="preserve">Lubrificantes (</t>
    </r>
    <r>
      <rPr>
        <i val="true"/>
        <sz val="10"/>
        <rFont val="Calibri"/>
        <family val="2"/>
        <charset val="1"/>
      </rPr>
      <t xml:space="preserve">CLB</t>
    </r>
    <r>
      <rPr>
        <sz val="10"/>
        <rFont val="Calibri"/>
        <family val="2"/>
        <charset val="1"/>
      </rPr>
      <t xml:space="preserve">)......................................................................................................</t>
    </r>
  </si>
  <si>
    <r>
      <rPr>
        <sz val="10"/>
        <rFont val="Calibri"/>
        <family val="2"/>
        <charset val="1"/>
      </rPr>
      <t xml:space="preserve">Material de rodagem (</t>
    </r>
    <r>
      <rPr>
        <i val="true"/>
        <sz val="10"/>
        <rFont val="Calibri"/>
        <family val="2"/>
        <charset val="1"/>
      </rPr>
      <t xml:space="preserve">CRD</t>
    </r>
    <r>
      <rPr>
        <sz val="10"/>
        <rFont val="Calibri"/>
        <family val="2"/>
        <charset val="1"/>
      </rPr>
      <t xml:space="preserve">)................................................................................................................................................</t>
    </r>
  </si>
  <si>
    <r>
      <rPr>
        <sz val="10"/>
        <rFont val="Calibri"/>
        <family val="2"/>
        <charset val="1"/>
      </rPr>
      <t xml:space="preserve">Peças e acessórios (</t>
    </r>
    <r>
      <rPr>
        <i val="true"/>
        <sz val="10"/>
        <rFont val="Calibri"/>
        <family val="2"/>
        <charset val="1"/>
      </rPr>
      <t xml:space="preserve">CPA</t>
    </r>
    <r>
      <rPr>
        <sz val="10"/>
        <rFont val="Calibri"/>
        <family val="2"/>
        <charset val="1"/>
      </rPr>
      <t xml:space="preserve">)...............................................................................</t>
    </r>
  </si>
  <si>
    <r>
      <rPr>
        <sz val="10"/>
        <rFont val="Calibri"/>
        <family val="2"/>
        <charset val="1"/>
      </rPr>
      <t xml:space="preserve">Custos ambientais (</t>
    </r>
    <r>
      <rPr>
        <i val="true"/>
        <sz val="10"/>
        <rFont val="Calibri"/>
        <family val="2"/>
        <charset val="1"/>
      </rPr>
      <t xml:space="preserve">CAB</t>
    </r>
    <r>
      <rPr>
        <sz val="10"/>
        <rFont val="Calibri"/>
        <family val="2"/>
        <charset val="1"/>
      </rPr>
      <t xml:space="preserve">)......................................................................................</t>
    </r>
  </si>
  <si>
    <t xml:space="preserve">TOTAL CUSTOS VARIÁVEIS</t>
  </si>
  <si>
    <t xml:space="preserve">CUSTOS FIXOS</t>
  </si>
  <si>
    <t xml:space="preserve">Pessoal</t>
  </si>
  <si>
    <t xml:space="preserve">Operação .............................................................................</t>
  </si>
  <si>
    <r>
      <rPr>
        <sz val="10"/>
        <rFont val="Calibri"/>
        <family val="2"/>
        <charset val="1"/>
      </rPr>
      <t xml:space="preserve">Manutenção, administrativo e diretoria (</t>
    </r>
    <r>
      <rPr>
        <i val="true"/>
        <sz val="10"/>
        <rFont val="Calibri"/>
        <family val="2"/>
        <charset val="1"/>
      </rPr>
      <t xml:space="preserve">DMA</t>
    </r>
    <r>
      <rPr>
        <sz val="10"/>
        <rFont val="Calibri"/>
        <family val="2"/>
        <charset val="1"/>
      </rPr>
      <t xml:space="preserve">)...............................................................</t>
    </r>
  </si>
  <si>
    <t xml:space="preserve">subtotal</t>
  </si>
  <si>
    <t xml:space="preserve">Administrativas</t>
  </si>
  <si>
    <r>
      <rPr>
        <sz val="10"/>
        <rFont val="Calibri"/>
        <family val="2"/>
        <charset val="1"/>
      </rPr>
      <t xml:space="preserve">Despesas gerais (</t>
    </r>
    <r>
      <rPr>
        <i val="true"/>
        <sz val="10"/>
        <rFont val="Calibri"/>
        <family val="2"/>
        <charset val="1"/>
      </rPr>
      <t xml:space="preserve">CDG</t>
    </r>
    <r>
      <rPr>
        <sz val="10"/>
        <rFont val="Calibri"/>
        <family val="2"/>
        <charset val="1"/>
      </rPr>
      <t xml:space="preserve">).....................................................................................................</t>
    </r>
  </si>
  <si>
    <r>
      <rPr>
        <sz val="10"/>
        <rFont val="Calibri"/>
        <family val="2"/>
        <charset val="1"/>
      </rPr>
      <t xml:space="preserve">DPVAT e licenciamento (</t>
    </r>
    <r>
      <rPr>
        <i val="true"/>
        <sz val="10"/>
        <rFont val="Calibri"/>
        <family val="2"/>
        <charset val="1"/>
      </rPr>
      <t xml:space="preserve">CDS</t>
    </r>
    <r>
      <rPr>
        <sz val="10"/>
        <rFont val="Calibri"/>
        <family val="2"/>
        <charset val="1"/>
      </rPr>
      <t xml:space="preserve">)..........................................................................................................................</t>
    </r>
  </si>
  <si>
    <t xml:space="preserve">IPVA.............................................................................................................</t>
  </si>
  <si>
    <r>
      <rPr>
        <sz val="10"/>
        <rFont val="Calibri"/>
        <family val="2"/>
        <charset val="1"/>
      </rPr>
      <t xml:space="preserve">Seguros (</t>
    </r>
    <r>
      <rPr>
        <i val="true"/>
        <sz val="10"/>
        <rFont val="Calibri"/>
        <family val="2"/>
        <charset val="1"/>
      </rPr>
      <t xml:space="preserve">CRD</t>
    </r>
    <r>
      <rPr>
        <sz val="10"/>
        <rFont val="Calibri"/>
        <family val="2"/>
        <charset val="1"/>
      </rPr>
      <t xml:space="preserve">)..........................................................................................................</t>
    </r>
  </si>
  <si>
    <r>
      <rPr>
        <sz val="10"/>
        <rFont val="Calibri"/>
        <family val="2"/>
        <charset val="1"/>
      </rPr>
      <t xml:space="preserve">Outras despesas operacionais (</t>
    </r>
    <r>
      <rPr>
        <i val="true"/>
        <sz val="10"/>
        <rFont val="Calibri"/>
        <family val="2"/>
        <charset val="1"/>
      </rPr>
      <t xml:space="preserve">CCM</t>
    </r>
    <r>
      <rPr>
        <sz val="10"/>
        <rFont val="Calibri"/>
        <family val="2"/>
        <charset val="1"/>
      </rPr>
      <t xml:space="preserve">).........................................................................................</t>
    </r>
  </si>
  <si>
    <t xml:space="preserve">Depreciação</t>
  </si>
  <si>
    <r>
      <rPr>
        <sz val="10"/>
        <rFont val="Calibri"/>
        <family val="2"/>
        <charset val="1"/>
      </rPr>
      <t xml:space="preserve">Veículos da frota (</t>
    </r>
    <r>
      <rPr>
        <i val="true"/>
        <sz val="10"/>
        <rFont val="Calibri"/>
        <family val="2"/>
        <charset val="1"/>
      </rPr>
      <t xml:space="preserve">DVE</t>
    </r>
    <r>
      <rPr>
        <sz val="10"/>
        <rFont val="Calibri"/>
        <family val="2"/>
        <charset val="1"/>
      </rPr>
      <t xml:space="preserve">)..............................................................................................</t>
    </r>
  </si>
  <si>
    <r>
      <rPr>
        <sz val="10"/>
        <rFont val="Calibri"/>
        <family val="2"/>
        <charset val="1"/>
      </rPr>
      <t xml:space="preserve">Edificações e equipamentos de garagem (</t>
    </r>
    <r>
      <rPr>
        <i val="true"/>
        <sz val="10"/>
        <rFont val="Calibri"/>
        <family val="2"/>
        <charset val="1"/>
      </rPr>
      <t xml:space="preserve">DED</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</si>
  <si>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DEQ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</si>
  <si>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DVA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</si>
  <si>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DIN</t>
    </r>
    <r>
      <rPr>
        <sz val="10"/>
        <rFont val="Calibri"/>
        <family val="2"/>
        <charset val="1"/>
      </rPr>
      <t xml:space="preserve">).........................................................................................</t>
    </r>
  </si>
  <si>
    <t xml:space="preserve">Remuneração</t>
  </si>
  <si>
    <r>
      <rPr>
        <sz val="10"/>
        <rFont val="Calibri"/>
        <family val="2"/>
        <charset val="1"/>
      </rPr>
      <t xml:space="preserve">Veículos da frota (</t>
    </r>
    <r>
      <rPr>
        <i val="true"/>
        <sz val="10"/>
        <rFont val="Calibri"/>
        <family val="2"/>
        <charset val="1"/>
      </rPr>
      <t xml:space="preserve">RVE</t>
    </r>
    <r>
      <rPr>
        <sz val="10"/>
        <rFont val="Calibri"/>
        <family val="2"/>
        <charset val="1"/>
      </rPr>
      <t xml:space="preserve">).......................................................................................................</t>
    </r>
  </si>
  <si>
    <r>
      <rPr>
        <sz val="10"/>
        <rFont val="Calibri"/>
        <family val="2"/>
        <charset val="1"/>
      </rPr>
      <t xml:space="preserve">Terrenos, edificações e equipamentos de garagem (</t>
    </r>
    <r>
      <rPr>
        <i val="true"/>
        <sz val="10"/>
        <rFont val="Calibri"/>
        <family val="2"/>
        <charset val="1"/>
      </rPr>
      <t xml:space="preserve">RTE</t>
    </r>
    <r>
      <rPr>
        <sz val="10"/>
        <rFont val="Calibri"/>
        <family val="2"/>
        <charset val="1"/>
      </rPr>
      <t xml:space="preserve">)...............................................................................................................</t>
    </r>
  </si>
  <si>
    <r>
      <rPr>
        <sz val="10"/>
        <rFont val="Calibri"/>
        <family val="2"/>
        <charset val="1"/>
      </rPr>
      <t xml:space="preserve">Almoxarifado (</t>
    </r>
    <r>
      <rPr>
        <i val="true"/>
        <sz val="10"/>
        <rFont val="Calibri"/>
        <family val="2"/>
        <charset val="1"/>
      </rPr>
      <t xml:space="preserve">RAL</t>
    </r>
    <r>
      <rPr>
        <sz val="10"/>
        <rFont val="Calibri"/>
        <family val="2"/>
        <charset val="1"/>
      </rPr>
      <t xml:space="preserve">).............................................................................................</t>
    </r>
  </si>
  <si>
    <r>
      <rPr>
        <sz val="10"/>
        <rFont val="Calibri"/>
        <family val="2"/>
        <charset val="1"/>
      </rPr>
      <t xml:space="preserve">Equipamentos de bilhetagem e ITS (</t>
    </r>
    <r>
      <rPr>
        <i val="true"/>
        <sz val="10"/>
        <rFont val="Calibri"/>
        <family val="2"/>
        <charset val="1"/>
      </rPr>
      <t xml:space="preserve">REQ</t>
    </r>
    <r>
      <rPr>
        <sz val="10"/>
        <rFont val="Calibri"/>
        <family val="2"/>
        <charset val="1"/>
      </rPr>
      <t xml:space="preserve">)....................................................................................</t>
    </r>
  </si>
  <si>
    <r>
      <rPr>
        <sz val="10"/>
        <rFont val="Calibri"/>
        <family val="2"/>
        <charset val="1"/>
      </rPr>
      <t xml:space="preserve">Veículos de apoio (</t>
    </r>
    <r>
      <rPr>
        <i val="true"/>
        <sz val="10"/>
        <rFont val="Calibri"/>
        <family val="2"/>
        <charset val="1"/>
      </rPr>
      <t xml:space="preserve">RVA</t>
    </r>
    <r>
      <rPr>
        <sz val="10"/>
        <rFont val="Calibri"/>
        <family val="2"/>
        <charset val="1"/>
      </rPr>
      <t xml:space="preserve">)................................................................................................</t>
    </r>
  </si>
  <si>
    <r>
      <rPr>
        <sz val="10"/>
        <rFont val="Calibri"/>
        <family val="2"/>
        <charset val="1"/>
      </rPr>
      <t xml:space="preserve">Infraestrutura (</t>
    </r>
    <r>
      <rPr>
        <i val="true"/>
        <sz val="10"/>
        <rFont val="Calibri"/>
        <family val="2"/>
        <charset val="1"/>
      </rPr>
      <t xml:space="preserve">RIN</t>
    </r>
    <r>
      <rPr>
        <sz val="10"/>
        <rFont val="Calibri"/>
        <family val="2"/>
        <charset val="1"/>
      </rPr>
      <t xml:space="preserve">)................................................................................................</t>
    </r>
  </si>
  <si>
    <t xml:space="preserve">Outras despesas</t>
  </si>
  <si>
    <r>
      <rPr>
        <sz val="10"/>
        <rFont val="Calibri"/>
        <family val="2"/>
        <charset val="1"/>
      </rPr>
      <t xml:space="preserve">Locação dos equipamentos e sistemas de bilhetagem e ITS (</t>
    </r>
    <r>
      <rPr>
        <i val="true"/>
        <sz val="10"/>
        <rFont val="Calibri"/>
        <family val="2"/>
        <charset val="1"/>
      </rPr>
      <t xml:space="preserve">CLQ</t>
    </r>
    <r>
      <rPr>
        <sz val="10"/>
        <rFont val="Calibri"/>
        <family val="2"/>
        <charset val="1"/>
      </rPr>
      <t xml:space="preserve">).............................................................</t>
    </r>
  </si>
  <si>
    <r>
      <rPr>
        <sz val="10"/>
        <rFont val="Calibri"/>
        <family val="2"/>
        <charset val="1"/>
      </rPr>
      <t xml:space="preserve">Locação de garagem (</t>
    </r>
    <r>
      <rPr>
        <i val="true"/>
        <sz val="10"/>
        <rFont val="Calibri"/>
        <family val="2"/>
        <charset val="1"/>
      </rPr>
      <t xml:space="preserve">CLG</t>
    </r>
    <r>
      <rPr>
        <sz val="10"/>
        <rFont val="Calibri"/>
        <family val="2"/>
        <charset val="1"/>
      </rPr>
      <t xml:space="preserve">).......................................................................................................................</t>
    </r>
  </si>
  <si>
    <r>
      <rPr>
        <sz val="10"/>
        <rFont val="Calibri"/>
        <family val="2"/>
        <charset val="1"/>
      </rPr>
      <t xml:space="preserve">Locação de veículos de Apoio (</t>
    </r>
    <r>
      <rPr>
        <i val="true"/>
        <sz val="10"/>
        <rFont val="Calibri"/>
        <family val="2"/>
        <charset val="1"/>
      </rPr>
      <t xml:space="preserve">CLA</t>
    </r>
    <r>
      <rPr>
        <sz val="10"/>
        <rFont val="Calibri"/>
        <family val="2"/>
        <charset val="1"/>
      </rPr>
      <t xml:space="preserve">)............................................................................</t>
    </r>
  </si>
  <si>
    <t xml:space="preserve">TOTAL CUSTOS FIXOS</t>
  </si>
  <si>
    <t xml:space="preserve">TOTAL CUSTOS VARIÁVEIS E FIXOS</t>
  </si>
  <si>
    <t xml:space="preserve">REMUNERAÇÃO PELA PRESTAÇÃO DE SERVIÇO (RPS)</t>
  </si>
  <si>
    <t xml:space="preserve">TRIBUTAÇÃO - Utilizando o método de cálculo do imposto sobre imposto para calcular o custo/km</t>
  </si>
  <si>
    <t xml:space="preserve">Desoneração da Folha(INSS).................................................................................................................................................................................................</t>
  </si>
  <si>
    <t xml:space="preserve">Contribuição Social........................................................................................................................................................................................................................................................................</t>
  </si>
  <si>
    <t xml:space="preserve">ICMS...............................................................................................................................................................................................................</t>
  </si>
  <si>
    <t xml:space="preserve">Taxa de gerenciamento.........................................................................................................................................................................................</t>
  </si>
  <si>
    <t xml:space="preserve">PIS..................................................................................................................................................................................................................</t>
  </si>
  <si>
    <t xml:space="preserve">COFINS.....................................................................................................................................................................................................................................</t>
  </si>
  <si>
    <t xml:space="preserve">Outros - IRRF................................................................................................................................................................................................</t>
  </si>
  <si>
    <t xml:space="preserve">SOMA DAS ALÍQUOTAS DOS TRIBUTOS DIRETOS</t>
  </si>
  <si>
    <t xml:space="preserve">TOTAL DE TRIBUTOS</t>
  </si>
  <si>
    <t xml:space="preserve">CUSTO TOTAL</t>
  </si>
  <si>
    <t xml:space="preserve">ANEXO III – Consumo de combustível</t>
  </si>
  <si>
    <r>
      <rPr>
        <b val="true"/>
        <sz val="11"/>
        <rFont val="Calibri"/>
        <family val="2"/>
        <charset val="1"/>
      </rPr>
      <t xml:space="preserve">III.</t>
    </r>
    <r>
      <rPr>
        <b val="true"/>
        <i val="true"/>
        <sz val="11"/>
        <rFont val="Calibri"/>
        <family val="2"/>
        <charset val="1"/>
      </rPr>
      <t xml:space="preserve">a </t>
    </r>
    <r>
      <rPr>
        <b val="true"/>
        <sz val="11"/>
        <rFont val="Calibri"/>
        <family val="2"/>
        <charset val="1"/>
      </rPr>
      <t xml:space="preserve">Valores de referência (litros/km)</t>
    </r>
    <r>
      <rPr>
        <b val="true"/>
        <sz val="11"/>
        <color rgb="FFFF0000"/>
        <rFont val="Calibri"/>
        <family val="2"/>
        <charset val="1"/>
      </rPr>
      <t xml:space="preserve">*</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</si>
  <si>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[mínimo]</t>
    </r>
  </si>
  <si>
    <r>
      <rPr>
        <b val="true"/>
        <i val="true"/>
        <vertAlign val="superscript"/>
        <sz val="12"/>
        <color rgb="FFFFFFFF"/>
        <rFont val="Arial"/>
        <family val="2"/>
        <charset val="1"/>
      </rPr>
      <t xml:space="preserve">σ</t>
    </r>
    <r>
      <rPr>
        <b val="true"/>
        <i val="true"/>
        <vertAlign val="subscript"/>
        <sz val="12"/>
        <color rgb="FFFFFFFF"/>
        <rFont val="Arial"/>
        <family val="2"/>
        <charset val="1"/>
      </rPr>
      <t xml:space="preserve">z</t>
    </r>
    <r>
      <rPr>
        <b val="true"/>
        <vertAlign val="superscript"/>
        <sz val="12"/>
        <color rgb="FFFFFFFF"/>
        <rFont val="Calibri"/>
        <family val="2"/>
        <charset val="1"/>
      </rPr>
      <t xml:space="preserve">[máximo]</t>
    </r>
  </si>
  <si>
    <t xml:space="preserve">Micro-ônibus</t>
  </si>
  <si>
    <t xml:space="preserve">Classe</t>
  </si>
  <si>
    <t xml:space="preserve">De</t>
  </si>
  <si>
    <t xml:space="preserve">Veículo</t>
  </si>
  <si>
    <t xml:space="preserve">*esses valores se referem a veículos operando sem ar-condicionado e sem transmissão automática. </t>
  </si>
  <si>
    <t xml:space="preserve">ANEXO IV – RELAÇÃO ENTRE O PREÇO DE LUBRIFICANTES E CONSUMO DE ÓLEO DIESEL</t>
  </si>
  <si>
    <r>
      <rPr>
        <b val="true"/>
        <sz val="11"/>
        <rFont val="Calibri"/>
        <family val="2"/>
        <charset val="1"/>
      </rPr>
      <t xml:space="preserve">IV.</t>
    </r>
    <r>
      <rPr>
        <b val="true"/>
        <i val="true"/>
        <sz val="11"/>
        <rFont val="Calibri"/>
        <family val="2"/>
        <charset val="1"/>
      </rPr>
      <t xml:space="preserve">a </t>
    </r>
    <r>
      <rPr>
        <b val="true"/>
        <sz val="11"/>
        <rFont val="Calibri"/>
        <family val="2"/>
        <charset val="1"/>
      </rPr>
      <t xml:space="preserve">Valor de referência</t>
    </r>
  </si>
  <si>
    <t xml:space="preserve">coeficiente de correlação do consumo de lubrificante relacionado ao consumo do óleo diesel</t>
  </si>
  <si>
    <t xml:space="preserve">j</t>
  </si>
  <si>
    <t xml:space="preserve">médio</t>
  </si>
  <si>
    <t xml:space="preserve"> l/km</t>
  </si>
  <si>
    <t xml:space="preserve">ANEXO V – CONSUMO DO ARLA 32 EM ÔNIBUS</t>
  </si>
  <si>
    <t xml:space="preserve">V.a</t>
  </si>
  <si>
    <t xml:space="preserve">Valores de referência para Consumo do Arla 32 em ônibus</t>
  </si>
  <si>
    <t xml:space="preserve">Consumo do Arla 32</t>
  </si>
  <si>
    <t xml:space="preserve">δ [minimo]</t>
  </si>
  <si>
    <t xml:space="preserve">δ [máximo]</t>
  </si>
  <si>
    <t xml:space="preserve">ANEXO VI – VIDA ÚTIL E RECAPAGEM DE PNEUS</t>
  </si>
  <si>
    <t xml:space="preserve">VI.a.</t>
  </si>
  <si>
    <t xml:space="preserve">Valores de Referência de número de recapagens</t>
  </si>
  <si>
    <r>
      <rPr>
        <i val="true"/>
        <sz val="11"/>
        <color rgb="FF000000"/>
        <rFont val="Calibri"/>
        <family val="2"/>
        <charset val="1"/>
      </rPr>
      <t xml:space="preserve">β</t>
    </r>
    <r>
      <rPr>
        <i val="true"/>
        <sz val="8"/>
        <color rgb="FF000000"/>
        <rFont val="Calibri"/>
        <family val="2"/>
        <charset val="1"/>
      </rPr>
      <t xml:space="preserve">Minimo</t>
    </r>
  </si>
  <si>
    <r>
      <rPr>
        <i val="true"/>
        <sz val="11"/>
        <color rgb="FF000000"/>
        <rFont val="Calibri"/>
        <family val="2"/>
        <charset val="1"/>
      </rPr>
      <t xml:space="preserve">β</t>
    </r>
    <r>
      <rPr>
        <i val="true"/>
        <sz val="8"/>
        <color rgb="FF000000"/>
        <rFont val="Calibri"/>
        <family val="2"/>
        <charset val="1"/>
      </rPr>
      <t xml:space="preserve">Máximo</t>
    </r>
  </si>
  <si>
    <t xml:space="preserve">VI.b.</t>
  </si>
  <si>
    <t xml:space="preserve">Valores de Referência para vida útil dos pneus</t>
  </si>
  <si>
    <r>
      <rPr>
        <b val="true"/>
        <sz val="11"/>
        <color rgb="FFFFFFFF"/>
        <rFont val="Calibri"/>
        <family val="2"/>
        <charset val="1"/>
      </rPr>
      <t xml:space="preserve">PNUz </t>
    </r>
    <r>
      <rPr>
        <b val="true"/>
        <sz val="8"/>
        <color rgb="FFFFFFFF"/>
        <rFont val="Calibri"/>
        <family val="2"/>
        <charset val="1"/>
      </rPr>
      <t xml:space="preserve">Mínimo</t>
    </r>
  </si>
  <si>
    <r>
      <rPr>
        <b val="true"/>
        <sz val="11"/>
        <color rgb="FFFFFFFF"/>
        <rFont val="Calibri"/>
        <family val="2"/>
        <charset val="1"/>
      </rPr>
      <t xml:space="preserve">PNUz</t>
    </r>
    <r>
      <rPr>
        <b val="true"/>
        <sz val="9"/>
        <color rgb="FFFFFFFF"/>
        <rFont val="Calibri"/>
        <family val="2"/>
        <charset val="1"/>
      </rPr>
      <t xml:space="preserve"> </t>
    </r>
    <r>
      <rPr>
        <b val="true"/>
        <sz val="8"/>
        <color rgb="FFFFFFFF"/>
        <rFont val="Calibri"/>
        <family val="2"/>
        <charset val="1"/>
      </rPr>
      <t xml:space="preserve">Máximo</t>
    </r>
  </si>
  <si>
    <t xml:space="preserve">VI.c.</t>
  </si>
  <si>
    <t xml:space="preserve">Especificações de pneus por classe de veículo</t>
  </si>
  <si>
    <t xml:space="preserve">Dimensões</t>
  </si>
  <si>
    <t xml:space="preserve">Tipo</t>
  </si>
  <si>
    <t xml:space="preserve">Número de Pneus (NP)</t>
  </si>
  <si>
    <t xml:space="preserve">215/75 R17,5</t>
  </si>
  <si>
    <t xml:space="preserve">Radiais sem câmara </t>
  </si>
  <si>
    <t xml:space="preserve">pneus</t>
  </si>
  <si>
    <t xml:space="preserve">275/80 R22,5</t>
  </si>
  <si>
    <t xml:space="preserve">295/80 R22,5</t>
  </si>
  <si>
    <t xml:space="preserve">VI.d.</t>
  </si>
  <si>
    <t xml:space="preserve">Custo da recapagem por estrato da frota</t>
  </si>
  <si>
    <t xml:space="preserve">Número de recapagens (β)</t>
  </si>
  <si>
    <r>
      <rPr>
        <b val="true"/>
        <sz val="11"/>
        <color rgb="FFFFFFFF"/>
        <rFont val="Calibri"/>
        <family val="2"/>
        <charset val="1"/>
      </rPr>
      <t xml:space="preserve">Custo da recapagem (REC</t>
    </r>
    <r>
      <rPr>
        <b val="true"/>
        <sz val="10"/>
        <color rgb="FFFFFFFF"/>
        <rFont val="Calibri"/>
        <family val="2"/>
        <charset val="1"/>
      </rPr>
      <t xml:space="preserve">z</t>
    </r>
    <r>
      <rPr>
        <b val="true"/>
        <sz val="11"/>
        <color rgb="FFFFFFFF"/>
        <rFont val="Calibri"/>
        <family val="2"/>
        <charset val="1"/>
      </rPr>
      <t xml:space="preserve">)</t>
    </r>
  </si>
  <si>
    <t xml:space="preserve">VI.e.</t>
  </si>
  <si>
    <t xml:space="preserve">Custo do pneu novo por estrato da frota</t>
  </si>
  <si>
    <t xml:space="preserve">Custo de pneus (PNUz)</t>
  </si>
  <si>
    <t xml:space="preserve">VI.f.</t>
  </si>
  <si>
    <t xml:space="preserve">Custo de rodagem por estrato da frota</t>
  </si>
  <si>
    <r>
      <rPr>
        <b val="true"/>
        <sz val="11"/>
        <color rgb="FFFFFFFF"/>
        <rFont val="Calibri"/>
        <family val="2"/>
        <charset val="1"/>
      </rPr>
      <t xml:space="preserve">Vida útil rodagem (PNU</t>
    </r>
    <r>
      <rPr>
        <b val="true"/>
        <sz val="9"/>
        <color rgb="FFFFFFFF"/>
        <rFont val="Calibri"/>
        <family val="2"/>
        <charset val="1"/>
      </rPr>
      <t xml:space="preserve">z</t>
    </r>
    <r>
      <rPr>
        <b val="true"/>
        <sz val="11"/>
        <color rgb="FFFFFFFF"/>
        <rFont val="Calibri"/>
        <family val="2"/>
        <charset val="1"/>
      </rPr>
      <t xml:space="preserve">)</t>
    </r>
  </si>
  <si>
    <t xml:space="preserve">Custo da rodagem (CRD)</t>
  </si>
  <si>
    <t xml:space="preserve">ANEXO VII – PEÇAS E ACESSÓRIOS</t>
  </si>
  <si>
    <t xml:space="preserve">VII.a</t>
  </si>
  <si>
    <t xml:space="preserve">Valores de referência para consumo anual de peças e acessórios</t>
  </si>
  <si>
    <t xml:space="preserve">Consumo de Peças e Acessórios</t>
  </si>
  <si>
    <t xml:space="preserve">μ </t>
  </si>
  <si>
    <r>
      <rPr>
        <b val="true"/>
        <sz val="12"/>
        <color rgb="FFFFFFFF"/>
        <rFont val="Calibri"/>
        <family val="2"/>
        <charset val="1"/>
      </rPr>
      <t xml:space="preserve">Faixa etária (</t>
    </r>
    <r>
      <rPr>
        <b val="true"/>
        <i val="true"/>
        <sz val="12"/>
        <color rgb="FFFFFFFF"/>
        <rFont val="Calibri"/>
        <family val="2"/>
        <charset val="1"/>
      </rPr>
      <t xml:space="preserve">t</t>
    </r>
    <r>
      <rPr>
        <b val="true"/>
        <sz val="12"/>
        <color rgb="FFFFFFFF"/>
        <rFont val="Calibri"/>
        <family val="2"/>
        <charset val="1"/>
      </rPr>
      <t xml:space="preserve">)</t>
    </r>
  </si>
  <si>
    <t xml:space="preserve">0 a 2 anos</t>
  </si>
  <si>
    <t xml:space="preserve">3 a 4 anos</t>
  </si>
  <si>
    <t xml:space="preserve">5 a 6 anos</t>
  </si>
  <si>
    <t xml:space="preserve">7 a 8 anos</t>
  </si>
  <si>
    <t xml:space="preserve">9 a 10 anos</t>
  </si>
  <si>
    <t xml:space="preserve">acima de 10 anos</t>
  </si>
  <si>
    <t xml:space="preserve">ANEXO VIII – CUSTOS AMBIENTAIS</t>
  </si>
  <si>
    <t xml:space="preserve">VIII.a</t>
  </si>
  <si>
    <t xml:space="preserve">Valores de referência para custos ambientais</t>
  </si>
  <si>
    <t xml:space="preserve">Custos ambientais</t>
  </si>
  <si>
    <t xml:space="preserve">α [minimo]</t>
  </si>
  <si>
    <t xml:space="preserve">α [máximo]</t>
  </si>
  <si>
    <t xml:space="preserve">ANEXO IX – DEPRECIAÇÃO</t>
  </si>
  <si>
    <t xml:space="preserve">IX.a. Depreciação de veículos</t>
  </si>
  <si>
    <t xml:space="preserve">IX.a.1</t>
  </si>
  <si>
    <t xml:space="preserve">Valores de referência para vida útil e valor residual por tipo de veículo</t>
  </si>
  <si>
    <t xml:space="preserve">Vida Útil (Anos)</t>
  </si>
  <si>
    <t xml:space="preserve">Valor Residual (%)</t>
  </si>
  <si>
    <t xml:space="preserve">IX.a.2</t>
  </si>
  <si>
    <r>
      <rPr>
        <b val="true"/>
        <i val="true"/>
        <sz val="11"/>
        <rFont val="Calibri"/>
        <family val="2"/>
        <charset val="1"/>
      </rPr>
      <t xml:space="preserve">Fatores mensais de depreciação de veículos (λ</t>
    </r>
    <r>
      <rPr>
        <b val="true"/>
        <i val="true"/>
        <sz val="8"/>
        <rFont val="Calibri"/>
        <family val="2"/>
        <charset val="1"/>
      </rPr>
      <t xml:space="preserve">z</t>
    </r>
    <r>
      <rPr>
        <b val="true"/>
        <i val="true"/>
        <sz val="11"/>
        <rFont val="Calibri"/>
        <family val="2"/>
        <charset val="1"/>
      </rPr>
      <t xml:space="preserve">^[t])</t>
    </r>
  </si>
  <si>
    <t xml:space="preserve">Faixa etária (t) anos</t>
  </si>
  <si>
    <t xml:space="preserve">Midiônibus e Básico</t>
  </si>
  <si>
    <t xml:space="preserve">Padron</t>
  </si>
  <si>
    <t xml:space="preserve">-</t>
  </si>
  <si>
    <t xml:space="preserve">&gt;</t>
  </si>
  <si>
    <t xml:space="preserve">IX.a.3</t>
  </si>
  <si>
    <t xml:space="preserve">Número de veículos por classe e idade</t>
  </si>
  <si>
    <t xml:space="preserve">IX.a.4</t>
  </si>
  <si>
    <t xml:space="preserve">Depreciação dos veículos - etapa de cálculo</t>
  </si>
  <si>
    <t xml:space="preserve">λz</t>
  </si>
  <si>
    <t xml:space="preserve">IX.a.5</t>
  </si>
  <si>
    <t xml:space="preserve">Depreciação dos veículos</t>
  </si>
  <si>
    <t xml:space="preserve">DVE</t>
  </si>
  <si>
    <t xml:space="preserve">IX.b. Depreciação de edificações e equipamentos e mobiliário de garagem</t>
  </si>
  <si>
    <t xml:space="preserve">IX.b.1</t>
  </si>
  <si>
    <t xml:space="preserve">Valores de referência para vida útil e valor residual das edificações e equipamentos de garagem</t>
  </si>
  <si>
    <t xml:space="preserve">Edificações </t>
  </si>
  <si>
    <t xml:space="preserve">Equipamentos de garagem</t>
  </si>
  <si>
    <t xml:space="preserve">IX.b.2</t>
  </si>
  <si>
    <t xml:space="preserve">Coeficiente de depreciação das edificações (ϖ)</t>
  </si>
  <si>
    <t xml:space="preserve">ϖ=</t>
  </si>
  <si>
    <t xml:space="preserve">IX.b.3</t>
  </si>
  <si>
    <t xml:space="preserve">Coeficiente de depreciação dos equipamentos (τ)</t>
  </si>
  <si>
    <t xml:space="preserve">τ=</t>
  </si>
  <si>
    <t xml:space="preserve">IX.b.4</t>
  </si>
  <si>
    <t xml:space="preserve">Valores de referência para vida útil dos equipamentos de bilhetagem e ITS</t>
  </si>
  <si>
    <t xml:space="preserve">Equip. Bilhetagem e ITS</t>
  </si>
  <si>
    <t xml:space="preserve">IX.b.5</t>
  </si>
  <si>
    <r>
      <rPr>
        <b val="true"/>
        <i val="true"/>
        <sz val="11"/>
        <rFont val="Calibri"/>
        <family val="2"/>
        <charset val="1"/>
      </rPr>
      <t xml:space="preserve">Coeficiente de depreciação dos equipamentos de bilhetagem e ITS (</t>
    </r>
    <r>
      <rPr>
        <b val="true"/>
        <sz val="11"/>
        <rFont val="Calibri"/>
        <family val="2"/>
        <charset val="1"/>
      </rPr>
      <t xml:space="preserve">χ</t>
    </r>
    <r>
      <rPr>
        <b val="true"/>
        <i val="true"/>
        <sz val="11"/>
        <rFont val="Calibri"/>
        <family val="2"/>
        <charset val="1"/>
      </rPr>
      <t xml:space="preserve">)</t>
    </r>
  </si>
  <si>
    <t xml:space="preserve">χ=</t>
  </si>
  <si>
    <t xml:space="preserve">IX.b.6</t>
  </si>
  <si>
    <t xml:space="preserve">Valores de referência para vida útil e valor residual dos veículos de apoio</t>
  </si>
  <si>
    <t xml:space="preserve">Veículos de apoio</t>
  </si>
  <si>
    <t xml:space="preserve">Valor Residual </t>
  </si>
  <si>
    <t xml:space="preserve">ANEXO X – REMUNERAÇÃO DO CAPITAL IMOBILIZADO</t>
  </si>
  <si>
    <t xml:space="preserve">X.a</t>
  </si>
  <si>
    <t xml:space="preserve">Remuneração do capital imobilizado em veículos</t>
  </si>
  <si>
    <t xml:space="preserve">X.a.1</t>
  </si>
  <si>
    <t xml:space="preserve">X.a.2</t>
  </si>
  <si>
    <t xml:space="preserve">κz [t]</t>
  </si>
  <si>
    <t xml:space="preserve">X.a.3</t>
  </si>
  <si>
    <t xml:space="preserve">Remuneração dos veículos - etapa de cálculo</t>
  </si>
  <si>
    <t xml:space="preserve">X.a.4</t>
  </si>
  <si>
    <t xml:space="preserve">X.a.5</t>
  </si>
  <si>
    <t xml:space="preserve">Remuneração dos veículos</t>
  </si>
  <si>
    <t xml:space="preserve">RVE</t>
  </si>
  <si>
    <t xml:space="preserve">X.b.</t>
  </si>
  <si>
    <t xml:space="preserve">Remuneração do capital imobilizado em terrenos, edificações e equipamentos de garagem</t>
  </si>
  <si>
    <t xml:space="preserve">X.b.1.</t>
  </si>
  <si>
    <t xml:space="preserve">Coeficientes de remuneração do capital</t>
  </si>
  <si>
    <t xml:space="preserve">Coeficiente</t>
  </si>
  <si>
    <t xml:space="preserve">Valor </t>
  </si>
  <si>
    <t xml:space="preserve">coeficiente de remuneração anual do capital imobilizado em terrenos</t>
  </si>
  <si>
    <t xml:space="preserve">r</t>
  </si>
  <si>
    <t xml:space="preserve">coeficiente de remuneração anual do capital imobilizado em edificações</t>
  </si>
  <si>
    <t xml:space="preserve">ε</t>
  </si>
  <si>
    <t xml:space="preserve">coeficiente de remuneração anual do capital imobilizado em equipamentos e mobiliário de garagem</t>
  </si>
  <si>
    <t xml:space="preserve">η</t>
  </si>
  <si>
    <t xml:space="preserve">X.b.2.</t>
  </si>
  <si>
    <t xml:space="preserve">Remuneração do capital imobilizado emTerrenos, edificações e equipamentos de garagem (RTE)</t>
  </si>
  <si>
    <t xml:space="preserve">RTE =</t>
  </si>
  <si>
    <t xml:space="preserve">X.c.</t>
  </si>
  <si>
    <t xml:space="preserve">Remuneração do capital imobilizado em equipamentos de bilhetagem e ITS</t>
  </si>
  <si>
    <t xml:space="preserve">X.c.1</t>
  </si>
  <si>
    <t xml:space="preserve">Fator de remuneração dos equipamentos de bilhetagem e ITS (FRE)</t>
  </si>
  <si>
    <t xml:space="preserve">FRE</t>
  </si>
  <si>
    <t xml:space="preserve">X.d.</t>
  </si>
  <si>
    <t xml:space="preserve">Remuneração do capital imobilizado em veículos de apoio</t>
  </si>
  <si>
    <t xml:space="preserve">X.d.1</t>
  </si>
  <si>
    <t xml:space="preserve">fator de remuneração de veículos de apoio (FRV)</t>
  </si>
  <si>
    <t xml:space="preserve">FRV</t>
  </si>
  <si>
    <t xml:space="preserve">x-a.</t>
  </si>
  <si>
    <t xml:space="preserve">dados de entrada</t>
  </si>
  <si>
    <t xml:space="preserve">VUI</t>
  </si>
  <si>
    <t xml:space="preserve">TRI</t>
  </si>
  <si>
    <t xml:space="preserve">x-b.</t>
  </si>
  <si>
    <t xml:space="preserve">Fator de remuneração dos equipamentos de bilhetagem e ITS</t>
  </si>
  <si>
    <t xml:space="preserve">FRI</t>
  </si>
  <si>
    <t xml:space="preserve">X.e.</t>
  </si>
  <si>
    <t xml:space="preserve">Remuneração do capital imobilizado em infraestrutura</t>
  </si>
  <si>
    <t xml:space="preserve">X.e.1</t>
  </si>
  <si>
    <t xml:space="preserve">Fator de remuneração da infraestrutura (FRI)</t>
  </si>
  <si>
    <t xml:space="preserve">ANEXO XII – FATORES DE UTILIZAÇÃO DE PESSOAL DE OPERAÇÃO E ENCARGOS SOCIAIS</t>
  </si>
  <si>
    <t xml:space="preserve">XII.a</t>
  </si>
  <si>
    <t xml:space="preserve">Tabela de referência para o cálculo do Fator de Utilização </t>
  </si>
  <si>
    <t xml:space="preserve">Jornada de Trabalho Comumente Utilizadas</t>
  </si>
  <si>
    <t xml:space="preserve">Duração Equivalente da Operação - Dia útil</t>
  </si>
  <si>
    <t xml:space="preserve">ANEXO XIII – MÉTODO PARA CÁLCULO DAS DESPESAS COM PESSOAL DE MANUTENÇÃO, ADMINISTRATIVO E DIRETORIA</t>
  </si>
  <si>
    <t xml:space="preserve">XIII.a</t>
  </si>
  <si>
    <t xml:space="preserve">Perecentual de referência inclidente sobre despesas DMA</t>
  </si>
  <si>
    <r>
      <rPr>
        <b val="true"/>
        <sz val="12"/>
        <color rgb="FFFFFFFF"/>
        <rFont val="Calibri"/>
        <family val="2"/>
        <charset val="1"/>
      </rPr>
      <t xml:space="preserve">θ</t>
    </r>
    <r>
      <rPr>
        <b val="true"/>
        <i val="true"/>
        <sz val="12"/>
        <color rgb="FFFFFFFF"/>
        <rFont val="Times New Roman"/>
        <family val="1"/>
        <charset val="1"/>
      </rPr>
      <t xml:space="preserve">min</t>
    </r>
  </si>
  <si>
    <r>
      <rPr>
        <b val="true"/>
        <sz val="12"/>
        <color rgb="FFFFFFFF"/>
        <rFont val="Calibri"/>
        <family val="2"/>
        <charset val="1"/>
      </rPr>
      <t xml:space="preserve">θ</t>
    </r>
    <r>
      <rPr>
        <b val="true"/>
        <i val="true"/>
        <sz val="12"/>
        <color rgb="FFFFFFFF"/>
        <rFont val="Times New Roman"/>
        <family val="1"/>
        <charset val="1"/>
      </rPr>
      <t xml:space="preserve">max</t>
    </r>
  </si>
  <si>
    <t xml:space="preserve">Faixa</t>
  </si>
  <si>
    <t xml:space="preserve">(%)</t>
  </si>
  <si>
    <t xml:space="preserve">10 a 22</t>
  </si>
  <si>
    <t xml:space="preserve">23 a 45</t>
  </si>
  <si>
    <t xml:space="preserve">46 a 78</t>
  </si>
  <si>
    <t xml:space="preserve">79 a 121</t>
  </si>
  <si>
    <t xml:space="preserve">122 a 174</t>
  </si>
  <si>
    <t xml:space="preserve">ANEXO XV – MÉTODO DE CÁLCULO DO FATOR DE RISCO</t>
  </si>
  <si>
    <t xml:space="preserve">XV</t>
  </si>
  <si>
    <t xml:space="preserve">Deseja calcular o coeficiente de remuneração da prestação de serviço (marcar X):</t>
  </si>
  <si>
    <t xml:space="preserve">Metodologia simplificada</t>
  </si>
  <si>
    <t xml:space="preserve">(ir para o item XV.a)</t>
  </si>
  <si>
    <t xml:space="preserve">Metodologia detalhada</t>
  </si>
  <si>
    <t xml:space="preserve">(ir para o item XV.d)</t>
  </si>
  <si>
    <t xml:space="preserve">Cálculo Simplificado do Coeficiente da Remuneração da Prestação de Serviço (RPS)</t>
  </si>
  <si>
    <t xml:space="preserve">Risco</t>
  </si>
  <si>
    <t xml:space="preserve">Baixo</t>
  </si>
  <si>
    <t xml:space="preserve">Médio</t>
  </si>
  <si>
    <t xml:space="preserve">Alto</t>
  </si>
  <si>
    <t xml:space="preserve">Gama</t>
  </si>
  <si>
    <t xml:space="preserve">Nível de Segurança 95%</t>
  </si>
  <si>
    <t xml:space="preserve">Nível de Segurança 90%</t>
  </si>
  <si>
    <t xml:space="preserve">Nível de Segurança 85%</t>
  </si>
  <si>
    <t xml:space="preserve">XV-a</t>
  </si>
  <si>
    <t xml:space="preserve">Nível de Segurança a ser adotado (NS)</t>
  </si>
  <si>
    <t xml:space="preserve">Baixo Risco</t>
  </si>
  <si>
    <t xml:space="preserve">Risco Médio</t>
  </si>
  <si>
    <t xml:space="preserve">Risco Alto</t>
  </si>
  <si>
    <t xml:space="preserve">valores de referência de acordo com o nível de segurança adotado</t>
  </si>
  <si>
    <t xml:space="preserve">XV-b.</t>
  </si>
  <si>
    <t xml:space="preserve">Coeficiente de Risco a ser assumido no projeto (Ri)</t>
  </si>
  <si>
    <t xml:space="preserve">Ri</t>
  </si>
  <si>
    <t xml:space="preserve">XV-c</t>
  </si>
  <si>
    <t xml:space="preserve">Coeficiente do RPS (Ɣ)</t>
  </si>
  <si>
    <t xml:space="preserve">Ɣ</t>
  </si>
  <si>
    <t xml:space="preserve">Cálculo Detalhado do Coeficiente da Remuneração da Prestação de Serviço (RPS)</t>
  </si>
  <si>
    <t xml:space="preserve">XV-d</t>
  </si>
  <si>
    <t xml:space="preserve">Matriz de Riscos e Atribuições</t>
  </si>
  <si>
    <t xml:space="preserve">Dimensão</t>
  </si>
  <si>
    <t xml:space="preserve">Descrição do risco</t>
  </si>
  <si>
    <t xml:space="preserve">Impacto sobre a equação financeira</t>
  </si>
  <si>
    <t xml:space="preserve">Situações em que não se Aplica</t>
  </si>
  <si>
    <t xml:space="preserve"> Risco Baixo</t>
  </si>
  <si>
    <t xml:space="preserve">ATRIBUIÇÃO</t>
  </si>
  <si>
    <t xml:space="preserve">Risco 1- Garagens e Infraestrutura </t>
  </si>
  <si>
    <t xml:space="preserve">Implantação de Veículos e Sistemas</t>
  </si>
  <si>
    <t xml:space="preserve">Elevação de preços e/ou prazos de implantação dos ativos por mudanças nos parâmetros de preços praticados ou escassez de insumos no mercado.</t>
  </si>
  <si>
    <t xml:space="preserve">Investimentos acima do previsto com período de implantação mais longo do que o planejado podem implicar em postergação e redução de receita ou aplicação de sanções previstas em contrato .</t>
  </si>
  <si>
    <t xml:space="preserve">Projetos consolidados, em que a tarifa seja calculada para o período subsequente.</t>
  </si>
  <si>
    <t xml:space="preserve">Novos projetos que envolvam apenas a operação de serviços (movimentação de passageiros). 
Risco centrado na aquisição de ativos imobiliários para implantação de garagem alinhada a estrutura de custos e operação preconizada.</t>
  </si>
  <si>
    <t xml:space="preserve">Novos projetos que envolvam serviços complementares, tais como a operação de terminais e outros</t>
  </si>
  <si>
    <t xml:space="preserve">Novos projetos de alta complexidade, que envolvam a execução de obras, implantação de sistemas complexos e a operação e manutenção de múltiplos serviços</t>
  </si>
  <si>
    <t xml:space="preserve">Risco 2- Tecnologia e sistemas </t>
  </si>
  <si>
    <t xml:space="preserve">Dificuldades de implantação e integração dos elementos tecnológicos da concessão</t>
  </si>
  <si>
    <t xml:space="preserve">Maiores custos com a integração de sistemas. No limite dos casos, necessidade de repactuação contratual de componentes impossíveis de serem integrados. Possíveis atrasos para o início da operação.</t>
  </si>
  <si>
    <t xml:space="preserve">Tecnologias conhecidas, comprovadas, testadas, com fornecedores conhecidos e capacitados.</t>
  </si>
  <si>
    <t xml:space="preserve">Tecnologia em implementação em poucos locais, com fornecedores trabalhando sobre o desenvolvimento de projetos, produtos e processos. </t>
  </si>
  <si>
    <t xml:space="preserve">Projetos que contemplem rupturas tecnológicas, com elevado nível de inovação previsto sobre o status corrente.</t>
  </si>
  <si>
    <t xml:space="preserve">Risco 3- Investimento público vs. Produtividade</t>
  </si>
  <si>
    <t xml:space="preserve">Riscos Relacionados aos Investimentos Públicos e produtividade</t>
  </si>
  <si>
    <t xml:space="preserve">Não realização dos investimentos a cargo do Poder Público na rede de transportes que sejam necessários ao atendimento das condições técnicas e financeiras planejadas. A produtividade utilizada como referência para avaliação da viabilidade do projeto poderá depender de intervenções públicas como alteração da rede de transportes (racionalização e reprogramação), implantação de viário, terminais ou outras condições diferentes das existentes.</t>
  </si>
  <si>
    <t xml:space="preserve">Produtividade efetiva menor do que a planejada, exigindo maior necessidade de frota operacional para a realização das viagens planejadas e atendimento à demanda prevista. Desta forma, há um incremento proporcional no número de veículos e pessoal embarcado. É esperado aumento dos custos variáveis, devido ao maior de consumo de combustível por quilômetro, porém efeito é de difícil quantificação.</t>
  </si>
  <si>
    <t xml:space="preserve">Projetos que não dependam da alteração da infraestrutura física ou de condições operacionais (a exemplo da velocidade vigente) para atendimento aos resultados previstos.
Situação urbana consolidada, sem perspectiva de degradação</t>
  </si>
  <si>
    <t xml:space="preserve">Projetos que não dependam da alteração da infraestrutura física ou de condições operacionais (a exemplo da velocidade vigente) para atendimento aos resultados previstos.
Situação urbana apresentando piora nas condições de tráfego.</t>
  </si>
  <si>
    <t xml:space="preserve">Projetos que dependam de melhoras operacionais para que os resultados técnicos e financeiros previstos sejam atingidos</t>
  </si>
  <si>
    <t xml:space="preserve">Projetos que dependam da implantação de terminais, corredores, infraestrutura ou outros elementos para que o resultado planejado seja atingido</t>
  </si>
  <si>
    <t xml:space="preserve">Risco 4- Certificação ambiental</t>
  </si>
  <si>
    <t xml:space="preserve">Regulamentação
Ambiental</t>
  </si>
  <si>
    <t xml:space="preserve">Obtenção da certificação, ISO ou similar, é mais demorada ou enseja maiores custos de implantação do que o previsto.</t>
  </si>
  <si>
    <t xml:space="preserve">Necessidade de ampliação de investimentos e prazo para atendimento às condições ambientais pré-estabelecidas</t>
  </si>
  <si>
    <t xml:space="preserve">Renovação de contratos ou recálculo da tarifa vigente, sem alteração relevante nas condições ambientais previstas.</t>
  </si>
  <si>
    <t xml:space="preserve">Projetos que apresentem exigência relativa a elementos ambientais alinhadas com a legislação vigente sobre o setor, porém sem acrescer elementos adicionais específicos.</t>
  </si>
  <si>
    <t xml:space="preserve">Projetos que apresentem exigência de certificação ambiental específica para ativos de grande porte, como garagens e centro de manutenção.</t>
  </si>
  <si>
    <t xml:space="preserve">Projetos que apresentem exigência de certificação ambiental para todos os bens móveis e imóveis da empresa operadora</t>
  </si>
  <si>
    <t xml:space="preserve">Risco 5- Mudanças na normatização ambiental</t>
  </si>
  <si>
    <t xml:space="preserve">Riscos ambientais incorridos na fase de operação dos serviços.</t>
  </si>
  <si>
    <t xml:space="preserve">Necessidade de investimentos complementares em frota, sistemas e obras civis para atendimento a mudanças na norma ambiental. Aumento dos custos operacionais ou diminuição da produtividade dos veículos.</t>
  </si>
  <si>
    <t xml:space="preserve">Tarifa calculada para um prazo de tempo relativamente reduzido. Caso ocorram alterações no marco regulatório dentro do horizonte de tempo, a empresa operadora somente necessitará adequar-se após a revisão tarifária seguinte.</t>
  </si>
  <si>
    <t xml:space="preserve">Projetos que prevejam a repactuação das condições financeiras iniciais em processo extraordinário a partir da ocorrência de fato de príncipe.</t>
  </si>
  <si>
    <t xml:space="preserve">Projetos que não apresentem clareza na condição contratual poderão ensejar litígio acerca da responsabilidade por arcar com os sobrecustos apontados.</t>
  </si>
  <si>
    <t xml:space="preserve">Projetos em que não exista previsão contratual delimitando a responsabilidade privada sobre alterações relevantes do marco regulatório.</t>
  </si>
  <si>
    <t xml:space="preserve">Risco 6- Risco global de demanda</t>
  </si>
  <si>
    <t xml:space="preserve">Perda de Demanda</t>
  </si>
  <si>
    <t xml:space="preserve">Perda de competitividade do sistema regular face aos meios individuais ou alternativos de transporte e a perda de capacidade de pagamento dos usuários do sistema, por correção da tarifa ou redução de salários médios são consideradas. Incluem também fatos ordinários exógenos que venham a alterar de forma expressiva a demanda, tais como a abertura de uma nova linha de metrô, desativação de centros comerciais, universidades, centros de lazer e similares interferem diretamente na demanda. Deve-se contemplar também situações em que a perda de demanda decorre de atos do Poder Público, como a autorização para novos modos concorrentes de transportes, concorrência predatória de linhas de sistemas municipais ou metropolitanos sobrepostos e conivência com meios de transporte de passageiros clandestinos.
</t>
  </si>
  <si>
    <t xml:space="preserve">Redução da demanda da empresa operadora com correspondente perda de receita tarifária. 
</t>
  </si>
  <si>
    <t xml:space="preserve">Projetos integralmente remunerados com base em custo (ponderação entre frota disponibilizada e km percorrida), em que a demanda não influencie a remuneração da empresa operadora.</t>
  </si>
  <si>
    <t xml:space="preserve">Projetos onde a flexibilidade operacional pode ajustar a estrutura de despesas às novas condições de demanda, resultando em redução no valor total do negócio, mas mantendo os índices de proporcionalidade entre receitas e despesas. Contratualmente em projetos em que o contrato incorpora anualmente variações de demanda para o cálculo da tarifa</t>
  </si>
  <si>
    <t xml:space="preserve">Projetos com estrutura de custos operacionais rígidos, tornando apenas parte dos custos flexíveis o suficiente para compensarem a perda de demanda. Contratualmente em projetos em que o processo de revisão ordinária (3-5 anos) incorpore a revisão da demanda sobre o equilíbrio econômico financeiro.</t>
  </si>
  <si>
    <t xml:space="preserve">Projetos com elevada proporção do custo de capital (investimentos iniciais) sobre custos totais, além de parte expressiva dos custos operacionais ser inflexível à demanda. Contratualmente a projetos em que o risco de demanda é integralmente alocado à iniciativa privada.</t>
  </si>
  <si>
    <t xml:space="preserve">Risco 7- Gratuidades</t>
  </si>
  <si>
    <t xml:space="preserve">Gratuidades</t>
  </si>
  <si>
    <t xml:space="preserve">Promulgação de novas gratuidades ou aumento proporcional do número de usuários gratuitos dentro da legislação vigente, por exemplo como mudança na pirâmide etária são contempladas.</t>
  </si>
  <si>
    <t xml:space="preserve">Redução da demanda equivalente da empresa operadora, com correspondente perda de receita tarifária.</t>
  </si>
  <si>
    <t xml:space="preserve">Projetos em que a remuneração da empresa operadora esteja vinculada à demanda total transportada (não apenas à demanda equivalente) ou que prevejam o ressarcimento por usuários gratuitos.</t>
  </si>
  <si>
    <t xml:space="preserve">Projetos com remuneração baseada exclusivamente em usuários equivalentes, em que a previsão de ressarcimento de novas gratuidades seja prevista de forma explícita e garantida.</t>
  </si>
  <si>
    <t xml:space="preserve">Projetos que não façam referência explícita a esta questão.</t>
  </si>
  <si>
    <t xml:space="preserve">Risco 8- Demanda integrada</t>
  </si>
  <si>
    <t xml:space="preserve">Perda de receita: dinâmica de sistemas integrados de transportes</t>
  </si>
  <si>
    <t xml:space="preserve">Aumento da participação dos usuários integrados pode, em casos específicos, gerar queda de receita proporcionalmente maior do que a redução de custos</t>
  </si>
  <si>
    <t xml:space="preserve">Redução da demanda da empresa operadora, com correspondente perda de receita tarifária.</t>
  </si>
  <si>
    <t xml:space="preserve">Projetos remunerados pela tarifa equivalente em sistemas maduros de transporte.</t>
  </si>
  <si>
    <t xml:space="preserve">Projetos em fase de implantação ou consolidação de uma rede integrada, com remuneração baseada em usuários equivalentes.</t>
  </si>
  <si>
    <t xml:space="preserve">Risco 9- Reajuste de tarifas</t>
  </si>
  <si>
    <t xml:space="preserve">Perda de Receita: Atos do Poder Público</t>
  </si>
  <si>
    <t xml:space="preserve">Atrasos no reajuste da tarifa.</t>
  </si>
  <si>
    <t xml:space="preserve">Constrição financeira da empresa concessionária, que poderá resultar em (i) necessidade de contratação de novos financiamentos pela iniciativa privada com custos progressivos (percepção do aumento do risco sistêmico do projeto; (ii) Inadimplemento das obrigações financeiras, levando à paralização dos serviços e (iii) antecipação da terminação contratual.</t>
  </si>
  <si>
    <t xml:space="preserve">Não há</t>
  </si>
  <si>
    <t xml:space="preserve">Previsão de mecanismos contratuais complementares que garantam o adimplemento de obrigações do Poder Concedente, como a constituição de fundos garantidores. Alternativa é a existência de sanções contratuais de valor mais do que proporcional às perdas incorridas pela empresa concessionária. Transcorrido prazo determinado, previsão de extinção do contrato com a imposição de obrigações de ressarcimento para o Poder Público.</t>
  </si>
  <si>
    <t xml:space="preserve">Previsão contratual de sanções para o Poder Concedente por inadimplemento de obrigações contratuais.</t>
  </si>
  <si>
    <t xml:space="preserve">Inexistência de mecanismos de sanção formal do Poder Público por inadimplemento de obrigações contratuais.</t>
  </si>
  <si>
    <t xml:space="preserve">Risco 10- Inadimplemento público</t>
  </si>
  <si>
    <t xml:space="preserve">Inadimplemento do Poder Concedente com relação ao complemento da arrecadação tarifária, em decorrência de problemas fiscais próprios ou aumento da necessidade de recursos públicos por descasamento entre o direito de recebimento da operadora e a arrecadação do sistema por diferentes razões: (1) Reajuste do valor da tarifa de usuário inferior ao contratualmente estabelecido para a remuneração da empresa operadora (2) Revisão da Tarifa de Remuneração por desequilíbrio econômico financeiro do Contrato. 
Caso o Poder Concedente não conte com recursos para a cobertura da diferença entre o valor tarifário arrecadado e o valor de remuneração devido para a empresa, a empresa operadora enfrentará constrição de caixa para honrar suas despesas correntes.</t>
  </si>
  <si>
    <t xml:space="preserve">Redução da remuneração de curto prazo da empresa operadora gera a necessidade de financiamento do déficit de caixa. Quebra contratual eleva a percepção de risco da empresa concessionária pelo mercado financeiro, resultando em um aumento imediato do custo de financiamento para a cobertura do déficit de arrecadação. Caso o inadimplemento perdure por prazo relevante a empresa operadora poderá falir.</t>
  </si>
  <si>
    <t xml:space="preserve">Projetos que não dependam de recursos públicos em qualquer medida.</t>
  </si>
  <si>
    <t xml:space="preserve">Risco 11- Câmara de compesação</t>
  </si>
  <si>
    <t xml:space="preserve">Falhas na operação ou desestruturação da Câmara de Compensação e outros mecanismos de arrecadação e distribuição de recursos entre os participantes do sistema de transporte são observados. Ademais, os atrasos ou eventual insuficiência no repasse de recursos do sistema de arrecadação para a empresa impactam no custo.</t>
  </si>
  <si>
    <t xml:space="preserve">Atrasos no repasse de recursos ou insuficiência de recursos na câmara de compensação podem resultar nas situações de constrição financeira acima descritas.</t>
  </si>
  <si>
    <t xml:space="preserve">Projetos que não dependam da compensação da remuneração entre empresas operadoras </t>
  </si>
  <si>
    <t xml:space="preserve">Projetos com câmara de compensação independente, gerenciada por ente financeiro especializado com garantias firmes de pagamento.</t>
  </si>
  <si>
    <t xml:space="preserve">Projetos com câmara de compensação dependente, gerenciada por órgão público.</t>
  </si>
  <si>
    <t xml:space="preserve">Projetos com parcela expressiva da receita oriunda de repasses da câmara de compensação e gestão subordinada à operação da rede de transportes.</t>
  </si>
  <si>
    <t xml:space="preserve">Risco 12- Acidentes</t>
  </si>
  <si>
    <t xml:space="preserve">Dificuldades de Operação dos serviços</t>
  </si>
  <si>
    <t xml:space="preserve">Acidentes que envolvam usuários e/ou funcionários da concessionária</t>
  </si>
  <si>
    <t xml:space="preserve">Desembolsos com os custos associados à ocorrência de acidentes, principalmente que envolvam pessoas, não são parte prevista no plano de custos da empresa operadora, mas possuem elevada probabilidade de ocorrência no longo prazo. Seguros representam uma proteção limitada ao potencial total de perdas.</t>
  </si>
  <si>
    <t xml:space="preserve">Não há distinção entre contratos pela natureza aleatória das ocorrências e características do setor. Eventuais distinções devem se referir às probabilidades locais de ocorrência de incidentes. Contudo, tais estatísticas são raras e de difícil introdução no modelo. Consideração do valor homogêneo de perda  baseado em estatísticas gerais do setor.</t>
  </si>
  <si>
    <t xml:space="preserve">Risco 13- Alteração de padrões técnicos</t>
  </si>
  <si>
    <t xml:space="preserve">Novos padrões técnicos e operacionais impostos para a empresa operadora.</t>
  </si>
  <si>
    <t xml:space="preserve">Necessidade de ampliação da capacidade de transporte, sem qualquer contraparte nas receitas esperadas. Sobrecustos na forma de investimentos e custos operacionais.</t>
  </si>
  <si>
    <t xml:space="preserve">Estrutura contratual que preveja a avaliação do impacto financeiro de novas obrigações contratuais antes de sua implementação, com tempestiva recomposição das condições contratadas.</t>
  </si>
  <si>
    <t xml:space="preserve">Contratos que lancem o tema para o processo de revisão ordinária</t>
  </si>
  <si>
    <t xml:space="preserve">Contratos sem previsão de mecanismos de recomposição de equilíbrio.</t>
  </si>
  <si>
    <t xml:space="preserve">Risco 14- Desordem civil</t>
  </si>
  <si>
    <t xml:space="preserve">Atos de desordem civil resultam na vandalização de veículos e impedimento à operação.</t>
  </si>
  <si>
    <t xml:space="preserve">Sobrecustos com investimentos em veículos, garagens e outros ativos operacionais. Perdas de receitas.
Não há seguros patrimoniais para estas perdas e os custos usualmente não são previstos em contrato.</t>
  </si>
  <si>
    <t xml:space="preserve">Contratos em que exista a previsão de reequilíbrio contratual imediato pelas perdas incorridas pela empresa operaora em casos de atos de desordem civil.</t>
  </si>
  <si>
    <t xml:space="preserve">Contratos em que exista a previsão de reequilíbrio contratual em períodos ordinários pelas perdas incorridas pela empresa operaora em casos de atos de desordem civil.</t>
  </si>
  <si>
    <t xml:space="preserve">Contratos em que a previsão de recomposição do equilíbrio não sejam expressas tornam a alocação deste risco exclusiva da empresa operadora.</t>
  </si>
  <si>
    <t xml:space="preserve">Risco 15- Salários acima da inflação</t>
  </si>
  <si>
    <t xml:space="preserve">Questões 
Trabalhistas</t>
  </si>
  <si>
    <t xml:space="preserve">Elevação nos custos trabalhistas por aumento de salários acima dos índices convencionais de inflação.</t>
  </si>
  <si>
    <t xml:space="preserve">Aumento do custeio operacional da empresa operadora.</t>
  </si>
  <si>
    <t xml:space="preserve">Projetos onde o reajuste tarifário incorpore completamente o reajuste do valor de salários, seja por planilha, seja por fórmula paramétrica, de forma antecipada ao reajuste tarifário.</t>
  </si>
  <si>
    <t xml:space="preserve">Projetos onde o reajuste tarifário incorpore completamente o reajuste do valor de salários pretérito, seja por planilha, seja por fórmula paramétrica.</t>
  </si>
  <si>
    <t xml:space="preserve">Projetos onde o reajuste salarial seja compensado somente de forma parcial no reajuste da tarifa ou que atribua a diferença entre reajustes ao processo de recomposição de equilíbrio financeiro em revisão ordinária</t>
  </si>
  <si>
    <t xml:space="preserve">Projetos em que o reajuste tarifário se faz de forma dissociada dos custos da empresa .</t>
  </si>
  <si>
    <t xml:space="preserve">Risco 16- Greve trabalhista</t>
  </si>
  <si>
    <t xml:space="preserve">Greves resultam na paralização total ou parcial dos serviços.</t>
  </si>
  <si>
    <t xml:space="preserve">Deficiência operacional e reflexos financeiros pelo período de paralização sem que exista a possibilidade de cobrança de performance da empresa privada.</t>
  </si>
  <si>
    <t xml:space="preserve">Não há distinção entre contratos pela natureza setorial de ocorrências. Em tese, todos os contratos estão sujeitos à ocorrência deste perfil de questão.</t>
  </si>
  <si>
    <t xml:space="preserve">Risco 17- Alteração significativa da taxa de juros</t>
  </si>
  <si>
    <t xml:space="preserve">Ambiente
Macroeconômico</t>
  </si>
  <si>
    <t xml:space="preserve">Alterações significativas nas condições de financiamento de veículos, afetando a capacidade de investimento da empresa operadora.</t>
  </si>
  <si>
    <t xml:space="preserve">Risco de sobrecustos financeiros da concessionária, podendo inviabilizar a concessão ou provocar impactos adicionais sobre as condições de financiabilidade de novos projetos.</t>
  </si>
  <si>
    <t xml:space="preserve">Contemplar variações com o custo de capital na fórmula de reajuste (paramétrico) da tarifa.</t>
  </si>
  <si>
    <t xml:space="preserve">Determinar contratualmente que situações de constrição poderão ensejar reequilíbrio econômico financeiro do contrato, por exemplo, por meio de revisão das obrigações de investir ou renovar frota.</t>
  </si>
  <si>
    <t xml:space="preserve">Inexistência de previsão contratual atribui a assunção integral deste risco à empresa concessionária.</t>
  </si>
  <si>
    <t xml:space="preserve">Não se Aplica</t>
  </si>
  <si>
    <t xml:space="preserve">Risco baixo</t>
  </si>
  <si>
    <t xml:space="preserve">Risco médio</t>
  </si>
  <si>
    <t xml:space="preserve">Risco alto</t>
  </si>
  <si>
    <t xml:space="preserve">XV-e</t>
  </si>
  <si>
    <t xml:space="preserve">Cálculo dos riscos</t>
  </si>
  <si>
    <t xml:space="preserve">Incidência</t>
  </si>
  <si>
    <t xml:space="preserve">Impacto de Evento a 5%</t>
  </si>
  <si>
    <t xml:space="preserve">Desvio Padrão</t>
  </si>
  <si>
    <t xml:space="preserve">Variância</t>
  </si>
  <si>
    <t xml:space="preserve">XV-f</t>
  </si>
  <si>
    <t xml:space="preserve">Definição do Nível de Segurança </t>
  </si>
  <si>
    <t xml:space="preserve">Nível de Segurança</t>
  </si>
  <si>
    <t xml:space="preserve">Risco adotado (%)</t>
  </si>
  <si>
    <t xml:space="preserve">Situações em Que não se Aplica</t>
  </si>
  <si>
    <t xml:space="preserve">Impacto (95%)</t>
  </si>
  <si>
    <t xml:space="preserve">CUSTOS IMPACTADOS (% do Custo total)</t>
  </si>
  <si>
    <t xml:space="preserve">DED+DIN+RTE+RIN+CLG</t>
  </si>
  <si>
    <t xml:space="preserve">DEQ+REQ+CLQ+CLA+CCM</t>
  </si>
  <si>
    <t xml:space="preserve">DOP+DVE+RVE+CDS+IPVA+CDR+CCM+DED+DEQ+RTE+RAL+REQ+CLQ+CLG+DVA+RVA+CLA+CMB</t>
  </si>
  <si>
    <t xml:space="preserve">Risco 4 -Certificação ambiental</t>
  </si>
  <si>
    <t xml:space="preserve">CMB+CAB+DVE+RVE</t>
  </si>
  <si>
    <t xml:space="preserve">CMB+CLB+CAR+CRD+CPA+CAB+DVE+RVE</t>
  </si>
  <si>
    <t xml:space="preserve">DVE+RVE+DEQ+REQ+DIN+RIN+CLQ</t>
  </si>
  <si>
    <t xml:space="preserve">DOP+DMA</t>
  </si>
  <si>
    <t xml:space="preserve">DVE+DED+DEQ+DVA+DIN+RVE+ RTE+RAL+REQ+RVA+RIN</t>
  </si>
  <si>
    <t xml:space="preserve">XVI. Cálculo das Despesas Gerais</t>
  </si>
  <si>
    <t xml:space="preserve">Anual</t>
  </si>
  <si>
    <r>
      <rPr>
        <b val="true"/>
        <sz val="10"/>
        <rFont val="Arial"/>
        <family val="2"/>
        <charset val="1"/>
      </rPr>
      <t xml:space="preserve">Equipamento de segurança/uniformes</t>
    </r>
    <r>
      <rPr>
        <sz val="10"/>
        <rFont val="Arial"/>
        <family val="2"/>
        <charset val="1"/>
      </rPr>
      <t xml:space="preserve">................................................................</t>
    </r>
  </si>
  <si>
    <t xml:space="preserve">Material de limpeza.....................................................................</t>
  </si>
  <si>
    <t xml:space="preserve">Material de escritório...............................................................................</t>
  </si>
  <si>
    <t xml:space="preserve">Material de consumo de informática............................................................</t>
  </si>
  <si>
    <t xml:space="preserve">Material de manutenção predial......................................................</t>
  </si>
  <si>
    <t xml:space="preserve">Total de Material de consumo</t>
  </si>
  <si>
    <t xml:space="preserve">Despesas médicas obrigatórias - Seguro Funcionários</t>
  </si>
  <si>
    <t xml:space="preserve">Serviço de conservação e manutenção da frota</t>
  </si>
  <si>
    <t xml:space="preserve">Água e esgoto......................................................................</t>
  </si>
  <si>
    <t xml:space="preserve">Energia elétrica................................................................................</t>
  </si>
  <si>
    <t xml:space="preserve">Correios...........................................................................</t>
  </si>
  <si>
    <t xml:space="preserve">Total de Serviços públicos</t>
  </si>
  <si>
    <t xml:space="preserve">Telefone................................................................................</t>
  </si>
  <si>
    <t xml:space="preserve">Site........................................................................................</t>
  </si>
  <si>
    <t xml:space="preserve">Internet...............................................................................</t>
  </si>
  <si>
    <t xml:space="preserve">Total de Serviço de comunicação</t>
  </si>
  <si>
    <r>
      <rPr>
        <b val="true"/>
        <sz val="10"/>
        <rFont val="Arial"/>
        <family val="2"/>
        <charset val="1"/>
      </rPr>
      <t xml:space="preserve">Frete e carretos</t>
    </r>
    <r>
      <rPr>
        <sz val="10"/>
        <rFont val="Arial"/>
        <family val="2"/>
        <charset val="1"/>
      </rPr>
      <t xml:space="preserve">...................................................................</t>
    </r>
  </si>
  <si>
    <t xml:space="preserve">Combustível Veículos de Apoio............................................................................</t>
  </si>
  <si>
    <r>
      <rPr>
        <b val="true"/>
        <sz val="10"/>
        <rFont val="Arial"/>
        <family val="2"/>
        <charset val="1"/>
      </rPr>
      <t xml:space="preserve">Imposto Predial e Territorial Urbano (IPTU)</t>
    </r>
    <r>
      <rPr>
        <sz val="10"/>
        <rFont val="Arial"/>
        <family val="2"/>
        <charset val="1"/>
      </rPr>
      <t xml:space="preserve">............................................................................</t>
    </r>
  </si>
  <si>
    <r>
      <rPr>
        <b val="true"/>
        <sz val="10"/>
        <rFont val="Arial"/>
        <family val="2"/>
        <charset val="1"/>
      </rPr>
      <t xml:space="preserve">Taxa Bombeiros</t>
    </r>
    <r>
      <rPr>
        <sz val="10"/>
        <rFont val="Arial"/>
        <family val="2"/>
        <charset val="1"/>
      </rPr>
      <t xml:space="preserve">..................................................................................</t>
    </r>
  </si>
  <si>
    <r>
      <rPr>
        <b val="true"/>
        <sz val="10"/>
        <rFont val="Arial"/>
        <family val="2"/>
        <charset val="1"/>
      </rPr>
      <t xml:space="preserve">Transporte de valores nas garagens</t>
    </r>
    <r>
      <rPr>
        <sz val="10"/>
        <rFont val="Arial"/>
        <family val="2"/>
        <charset val="1"/>
      </rPr>
      <t xml:space="preserve">.......................................................</t>
    </r>
  </si>
  <si>
    <t xml:space="preserve">Serviços terceirizados de segurança patrimonial e portaria..........</t>
  </si>
  <si>
    <t xml:space="preserve">Serviços terceirizados de emissão de cartões.................................</t>
  </si>
  <si>
    <t xml:space="preserve">Serviços terceirizados de manutenção predial...........................</t>
  </si>
  <si>
    <t xml:space="preserve">Serviços terceirizados de propaganda.........................</t>
  </si>
  <si>
    <t xml:space="preserve">Serviços terceirizados na área contábil...................................</t>
  </si>
  <si>
    <t xml:space="preserve">Serviços terceirizados na área de medicina do trabalho....................</t>
  </si>
  <si>
    <t xml:space="preserve">Serviços terceirizados na área jurídica..................................</t>
  </si>
  <si>
    <t xml:space="preserve">Serviços terceirizados na área de informática............................</t>
  </si>
  <si>
    <t xml:space="preserve">Serviços terceirizados na área de recursos humanos..................</t>
  </si>
  <si>
    <t xml:space="preserve">Total de Serviço terceirizados</t>
  </si>
  <si>
    <t xml:space="preserve">.</t>
  </si>
  <si>
    <r>
      <rPr>
        <b val="true"/>
        <sz val="10"/>
        <rFont val="Arial"/>
        <family val="2"/>
        <charset val="1"/>
      </rPr>
      <t xml:space="preserve">Outros</t>
    </r>
    <r>
      <rPr>
        <sz val="10"/>
        <rFont val="Arial"/>
        <family val="2"/>
        <charset val="1"/>
      </rPr>
      <t xml:space="preserve">..........................................................................................</t>
    </r>
  </si>
  <si>
    <t xml:space="preserve">Despesas Gerais</t>
  </si>
</sst>
</file>

<file path=xl/styles.xml><?xml version="1.0" encoding="utf-8"?>
<styleSheet xmlns="http://schemas.openxmlformats.org/spreadsheetml/2006/main">
  <numFmts count="44">
    <numFmt numFmtId="164" formatCode="General"/>
    <numFmt numFmtId="165" formatCode="_(&quot;R$&quot;* #,##0.00_);_(&quot;R$&quot;* \(#,##0.00\);_(&quot;R$&quot;* \-??_);_(@_)"/>
    <numFmt numFmtId="166" formatCode="_(&quot;R$ &quot;* #,##0.00_);_(&quot;R$ &quot;* \(#,##0.00\);_(&quot;R$ &quot;* \-??_);_(@_)"/>
    <numFmt numFmtId="167" formatCode="0%"/>
    <numFmt numFmtId="168" formatCode="_(* #,##0.00_);_(* \(#,##0.00\);_(* \-??_);_(@_)"/>
    <numFmt numFmtId="169" formatCode="_-* #,##0.00_-;\-* #,##0.00_-;_-* \-??_-;_-@_-"/>
    <numFmt numFmtId="170" formatCode="_-* #,##0_-;\-* #,##0_-;_-* \-??_-;_-@_-"/>
    <numFmt numFmtId="171" formatCode="#,##0_);\(#,##0\)"/>
    <numFmt numFmtId="172" formatCode="#,##0.00_);\(#,##0.00\)"/>
    <numFmt numFmtId="173" formatCode="#,##0.00"/>
    <numFmt numFmtId="174" formatCode="#,##0"/>
    <numFmt numFmtId="175" formatCode="#,##0_ ;\-#,##0\ "/>
    <numFmt numFmtId="176" formatCode="#,##0.0000"/>
    <numFmt numFmtId="177" formatCode="#,##0.00_ ;\-#,##0.00\ "/>
    <numFmt numFmtId="178" formatCode="&quot;R$ &quot;#,##0;&quot;-R$ &quot;#,##0"/>
    <numFmt numFmtId="179" formatCode="&quot;R$ &quot;#,##0.00;&quot;-R$ &quot;#,##0.00"/>
    <numFmt numFmtId="180" formatCode="_-* #,##0.0000_-;\-* #,##0.0000_-;_-* \-??_-;_-@_-"/>
    <numFmt numFmtId="181" formatCode="_-* #,##0.000_-;\-* #,##0.000_-;_-* \-??_-;_-@_-"/>
    <numFmt numFmtId="182" formatCode="_-* #,##0.000000_-;\-* #,##0.000000_-;_-* \-??_-;_-@_-"/>
    <numFmt numFmtId="183" formatCode="0.00"/>
    <numFmt numFmtId="184" formatCode="0.00000"/>
    <numFmt numFmtId="185" formatCode="0.000000"/>
    <numFmt numFmtId="186" formatCode="&quot;R$ &quot;#,##0.00"/>
    <numFmt numFmtId="187" formatCode="0.00%"/>
    <numFmt numFmtId="188" formatCode="d/mmm"/>
    <numFmt numFmtId="189" formatCode="#,##0.00000"/>
    <numFmt numFmtId="190" formatCode="_-&quot;R$ &quot;* #,##0.00_-;&quot;-R$ &quot;* #,##0.00_-;_-&quot;R$ &quot;* \-??_-;_-@_-"/>
    <numFmt numFmtId="191" formatCode="0.0%"/>
    <numFmt numFmtId="192" formatCode="General"/>
    <numFmt numFmtId="193" formatCode="0.0000000"/>
    <numFmt numFmtId="194" formatCode="0.000000%"/>
    <numFmt numFmtId="195" formatCode="0.0000%"/>
    <numFmt numFmtId="196" formatCode="0.0000000000"/>
    <numFmt numFmtId="197" formatCode="#,##0.00000000_ ;\-#,##0.00000000\ "/>
    <numFmt numFmtId="198" formatCode="#,##0.000000_ ;\-#,##0.000000\ "/>
    <numFmt numFmtId="199" formatCode="#,##0.00000_ ;\-#,##0.00000\ "/>
    <numFmt numFmtId="200" formatCode="hh:mm"/>
    <numFmt numFmtId="201" formatCode="h:mm;@"/>
    <numFmt numFmtId="202" formatCode="0.000"/>
    <numFmt numFmtId="203" formatCode="#,##0.0000;\-#,##0.0000"/>
    <numFmt numFmtId="204" formatCode="0"/>
    <numFmt numFmtId="205" formatCode="#,##0.0"/>
    <numFmt numFmtId="206" formatCode="#,##0.00000;\-#,##0.00000"/>
    <numFmt numFmtId="207" formatCode="#,##0.000"/>
  </numFmts>
  <fonts count="75">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0"/>
      <name val="Arial"/>
      <family val="2"/>
      <charset val="1"/>
    </font>
    <font>
      <sz val="12"/>
      <name val="Calibri"/>
      <family val="2"/>
      <charset val="1"/>
    </font>
    <font>
      <b val="true"/>
      <i val="true"/>
      <sz val="11"/>
      <name val="Calibri"/>
      <family val="2"/>
      <charset val="1"/>
    </font>
    <font>
      <i val="true"/>
      <sz val="12"/>
      <name val="Calibri"/>
      <family val="2"/>
      <charset val="1"/>
    </font>
    <font>
      <b val="true"/>
      <sz val="12"/>
      <name val="Calibri"/>
      <family val="2"/>
      <charset val="1"/>
    </font>
    <font>
      <b val="true"/>
      <sz val="12"/>
      <color rgb="FFFF0000"/>
      <name val="Calibri"/>
      <family val="2"/>
      <charset val="1"/>
    </font>
    <font>
      <i val="true"/>
      <sz val="10"/>
      <color rgb="FFFF0000"/>
      <name val="Arial"/>
      <family val="2"/>
      <charset val="1"/>
    </font>
    <font>
      <sz val="11"/>
      <name val="Calibri"/>
      <family val="2"/>
      <charset val="1"/>
    </font>
    <font>
      <b val="true"/>
      <sz val="11"/>
      <name val="Calibri"/>
      <family val="2"/>
      <charset val="1"/>
    </font>
    <font>
      <i val="true"/>
      <sz val="11"/>
      <name val="Calibri"/>
      <family val="2"/>
      <charset val="1"/>
    </font>
    <font>
      <b val="true"/>
      <sz val="11"/>
      <color rgb="FF000000"/>
      <name val="Calibri"/>
      <family val="2"/>
      <charset val="1"/>
    </font>
    <font>
      <b val="true"/>
      <i val="true"/>
      <sz val="11"/>
      <color rgb="FF000000"/>
      <name val="Calibri"/>
      <family val="2"/>
      <charset val="1"/>
    </font>
    <font>
      <b val="true"/>
      <i val="true"/>
      <sz val="11"/>
      <color rgb="FFFFFFFF"/>
      <name val="Calibri"/>
      <family val="2"/>
      <charset val="1"/>
    </font>
    <font>
      <b val="true"/>
      <sz val="11"/>
      <color rgb="FFFFFFFF"/>
      <name val="Calibri"/>
      <family val="2"/>
      <charset val="1"/>
    </font>
    <font>
      <b val="true"/>
      <i val="true"/>
      <vertAlign val="subscript"/>
      <sz val="11"/>
      <color rgb="FF000000"/>
      <name val="Calibri"/>
      <family val="2"/>
      <charset val="1"/>
    </font>
    <font>
      <b val="true"/>
      <sz val="18"/>
      <name val="Calibri"/>
      <family val="2"/>
      <charset val="1"/>
    </font>
    <font>
      <b val="true"/>
      <vertAlign val="subscript"/>
      <sz val="11"/>
      <color rgb="FF000000"/>
      <name val="Calibri"/>
      <family val="2"/>
      <charset val="1"/>
    </font>
    <font>
      <sz val="10"/>
      <name val="Calibri"/>
      <family val="2"/>
      <charset val="1"/>
    </font>
    <font>
      <b val="true"/>
      <i val="true"/>
      <sz val="10"/>
      <name val="Calibri"/>
      <family val="2"/>
      <charset val="1"/>
    </font>
    <font>
      <b val="true"/>
      <sz val="10"/>
      <name val="Calibri"/>
      <family val="2"/>
      <charset val="1"/>
    </font>
    <font>
      <b val="true"/>
      <sz val="10"/>
      <color rgb="FFFFFFFF"/>
      <name val="Calibri"/>
      <family val="2"/>
      <charset val="1"/>
    </font>
    <font>
      <b val="true"/>
      <i val="true"/>
      <sz val="10"/>
      <color rgb="FFFFFFFF"/>
      <name val="Calibri"/>
      <family val="2"/>
      <charset val="1"/>
    </font>
    <font>
      <b val="true"/>
      <sz val="12"/>
      <name val="Arial"/>
      <family val="2"/>
      <charset val="1"/>
    </font>
    <font>
      <i val="true"/>
      <sz val="11"/>
      <color rgb="FF000000"/>
      <name val="Calibri"/>
      <family val="2"/>
      <charset val="1"/>
    </font>
    <font>
      <u val="single"/>
      <sz val="10"/>
      <color rgb="FF0000FF"/>
      <name val="Arial"/>
      <family val="2"/>
      <charset val="1"/>
    </font>
    <font>
      <b val="true"/>
      <i val="true"/>
      <sz val="16"/>
      <color rgb="FFFFFFFF"/>
      <name val="Calibri"/>
      <family val="2"/>
      <charset val="1"/>
    </font>
    <font>
      <b val="true"/>
      <i val="true"/>
      <sz val="16"/>
      <name val="Calibri"/>
      <family val="2"/>
      <charset val="1"/>
    </font>
    <font>
      <b val="true"/>
      <sz val="16"/>
      <name val="Calibri"/>
      <family val="2"/>
      <charset val="1"/>
    </font>
    <font>
      <b val="true"/>
      <i val="true"/>
      <sz val="8"/>
      <name val="Calibri"/>
      <family val="2"/>
      <charset val="1"/>
    </font>
    <font>
      <b val="true"/>
      <sz val="16"/>
      <color rgb="FFFFFFFF"/>
      <name val="Calibri"/>
      <family val="2"/>
      <charset val="1"/>
    </font>
    <font>
      <b val="true"/>
      <sz val="16"/>
      <color rgb="FF000000"/>
      <name val="Calibri"/>
      <family val="2"/>
      <charset val="1"/>
    </font>
    <font>
      <b val="true"/>
      <i val="true"/>
      <sz val="10"/>
      <name val="Arial"/>
      <family val="2"/>
      <charset val="1"/>
    </font>
    <font>
      <i val="true"/>
      <sz val="10"/>
      <name val="Arial"/>
      <family val="2"/>
      <charset val="1"/>
    </font>
    <font>
      <sz val="10"/>
      <color rgb="FFFF0000"/>
      <name val="Arial"/>
      <family val="2"/>
      <charset val="1"/>
    </font>
    <font>
      <b val="true"/>
      <i val="true"/>
      <sz val="10"/>
      <color rgb="FFFF0000"/>
      <name val="Arial"/>
      <family val="2"/>
      <charset val="1"/>
    </font>
    <font>
      <b val="true"/>
      <sz val="10"/>
      <color rgb="FFFF0000"/>
      <name val="Arial"/>
      <family val="2"/>
      <charset val="1"/>
    </font>
    <font>
      <i val="true"/>
      <sz val="8"/>
      <name val="Arial"/>
      <family val="2"/>
      <charset val="1"/>
    </font>
    <font>
      <b val="true"/>
      <sz val="10"/>
      <name val="Arial"/>
      <family val="2"/>
      <charset val="1"/>
    </font>
    <font>
      <b val="true"/>
      <sz val="10"/>
      <color rgb="FFFFFFFF"/>
      <name val="Arial"/>
      <family val="2"/>
      <charset val="1"/>
    </font>
    <font>
      <sz val="10"/>
      <color rgb="FFFFFFFF"/>
      <name val="Arial"/>
      <family val="2"/>
      <charset val="1"/>
    </font>
    <font>
      <i val="true"/>
      <sz val="10"/>
      <name val="Calibri"/>
      <family val="2"/>
      <charset val="1"/>
    </font>
    <font>
      <sz val="10"/>
      <color rgb="FFFFFFFF"/>
      <name val="Calibri"/>
      <family val="2"/>
      <charset val="1"/>
    </font>
    <font>
      <b val="true"/>
      <sz val="11"/>
      <color rgb="FFFF0000"/>
      <name val="Calibri"/>
      <family val="2"/>
      <charset val="1"/>
    </font>
    <font>
      <sz val="12"/>
      <name val="Arial"/>
      <family val="2"/>
      <charset val="1"/>
    </font>
    <font>
      <b val="true"/>
      <i val="true"/>
      <vertAlign val="superscript"/>
      <sz val="12"/>
      <color rgb="FFFFFFFF"/>
      <name val="Arial"/>
      <family val="2"/>
      <charset val="1"/>
    </font>
    <font>
      <b val="true"/>
      <i val="true"/>
      <vertAlign val="subscript"/>
      <sz val="12"/>
      <color rgb="FFFFFFFF"/>
      <name val="Arial"/>
      <family val="2"/>
      <charset val="1"/>
    </font>
    <font>
      <b val="true"/>
      <vertAlign val="superscript"/>
      <sz val="12"/>
      <color rgb="FFFFFFFF"/>
      <name val="Calibri"/>
      <family val="2"/>
      <charset val="1"/>
    </font>
    <font>
      <b val="true"/>
      <sz val="12"/>
      <color rgb="FFFFFFFF"/>
      <name val="Calibri"/>
      <family val="2"/>
      <charset val="1"/>
    </font>
    <font>
      <sz val="10"/>
      <color rgb="FFFF0000"/>
      <name val="Calibri"/>
      <family val="2"/>
      <charset val="1"/>
    </font>
    <font>
      <b val="true"/>
      <i val="true"/>
      <sz val="12"/>
      <color rgb="FFFFFFFF"/>
      <name val="Calibri"/>
      <family val="2"/>
      <charset val="1"/>
    </font>
    <font>
      <b val="true"/>
      <i val="true"/>
      <sz val="12"/>
      <color rgb="FFFFFFFF"/>
      <name val="Symbol"/>
      <family val="1"/>
      <charset val="2"/>
    </font>
    <font>
      <i val="true"/>
      <sz val="8"/>
      <color rgb="FF000000"/>
      <name val="Calibri"/>
      <family val="2"/>
      <charset val="1"/>
    </font>
    <font>
      <b val="true"/>
      <sz val="8"/>
      <color rgb="FFFFFFFF"/>
      <name val="Calibri"/>
      <family val="2"/>
      <charset val="1"/>
    </font>
    <font>
      <b val="true"/>
      <sz val="9"/>
      <color rgb="FFFFFFFF"/>
      <name val="Calibri"/>
      <family val="2"/>
      <charset val="1"/>
    </font>
    <font>
      <b val="true"/>
      <sz val="12"/>
      <color rgb="FF000000"/>
      <name val="Calibri"/>
      <family val="2"/>
      <charset val="1"/>
    </font>
    <font>
      <b val="true"/>
      <i val="true"/>
      <sz val="12"/>
      <color rgb="FFFFFFFF"/>
      <name val="Times New Roman"/>
      <family val="1"/>
      <charset val="1"/>
    </font>
    <font>
      <b val="true"/>
      <sz val="12"/>
      <name val="Times New Roman"/>
      <family val="1"/>
      <charset val="1"/>
    </font>
    <font>
      <b val="true"/>
      <sz val="12"/>
      <color rgb="FFFFFFFF"/>
      <name val="Times New Roman"/>
      <family val="1"/>
      <charset val="1"/>
    </font>
    <font>
      <sz val="11"/>
      <color rgb="FFFFFFFF"/>
      <name val="Calibri"/>
      <family val="2"/>
      <charset val="1"/>
    </font>
    <font>
      <sz val="10"/>
      <color rgb="FF000000"/>
      <name val="Arial"/>
      <family val="2"/>
      <charset val="1"/>
    </font>
    <font>
      <b val="true"/>
      <sz val="8"/>
      <name val="Arial"/>
      <family val="2"/>
      <charset val="1"/>
    </font>
    <font>
      <sz val="7"/>
      <name val="Arial"/>
      <family val="2"/>
      <charset val="1"/>
    </font>
    <font>
      <sz val="10"/>
      <color rgb="FF000000"/>
      <name val="Calibri"/>
      <family val="2"/>
    </font>
    <font>
      <b val="true"/>
      <sz val="10"/>
      <color rgb="FF000000"/>
      <name val="Calibri"/>
      <family val="2"/>
    </font>
    <font>
      <sz val="2.55"/>
      <color rgb="FF000000"/>
      <name val="Calibri"/>
      <family val="2"/>
    </font>
    <font>
      <b val="true"/>
      <sz val="9"/>
      <color rgb="FF000000"/>
      <name val="Calibri"/>
      <family val="2"/>
      <charset val="1"/>
    </font>
    <font>
      <sz val="9"/>
      <color rgb="FF000000"/>
      <name val="Calibri"/>
      <family val="2"/>
      <charset val="1"/>
    </font>
    <font>
      <sz val="9"/>
      <color rgb="FFFFFFFF"/>
      <name val="Calibri"/>
      <family val="2"/>
      <charset val="1"/>
    </font>
    <font>
      <b val="true"/>
      <sz val="10"/>
      <color rgb="FF000000"/>
      <name val="Calibri"/>
      <family val="2"/>
      <charset val="1"/>
    </font>
    <font>
      <sz val="10"/>
      <color rgb="FF000000"/>
      <name val="Calibri"/>
      <family val="2"/>
      <charset val="1"/>
    </font>
  </fonts>
  <fills count="28">
    <fill>
      <patternFill patternType="none"/>
    </fill>
    <fill>
      <patternFill patternType="gray125"/>
    </fill>
    <fill>
      <patternFill patternType="solid">
        <fgColor rgb="FFFFFFFF"/>
        <bgColor rgb="FFF2F2F2"/>
      </patternFill>
    </fill>
    <fill>
      <patternFill patternType="solid">
        <fgColor rgb="FFFAC090"/>
        <bgColor rgb="FFE6B9B8"/>
      </patternFill>
    </fill>
    <fill>
      <patternFill patternType="solid">
        <fgColor rgb="FFD7E4BD"/>
        <bgColor rgb="FFD9D9D9"/>
      </patternFill>
    </fill>
    <fill>
      <patternFill patternType="solid">
        <fgColor rgb="FFB9CDE5"/>
        <bgColor rgb="FFB7DEE8"/>
      </patternFill>
    </fill>
    <fill>
      <patternFill patternType="solid">
        <fgColor rgb="FFFDEADA"/>
        <bgColor rgb="FFEBF1DE"/>
      </patternFill>
    </fill>
    <fill>
      <patternFill patternType="solid">
        <fgColor rgb="FF95B3D7"/>
        <bgColor rgb="FF8EB4E3"/>
      </patternFill>
    </fill>
    <fill>
      <patternFill patternType="solid">
        <fgColor rgb="FF254061"/>
        <bgColor rgb="FF1F497D"/>
      </patternFill>
    </fill>
    <fill>
      <patternFill patternType="solid">
        <fgColor rgb="FFE46C0A"/>
        <bgColor rgb="FF993300"/>
      </patternFill>
    </fill>
    <fill>
      <patternFill patternType="solid">
        <fgColor rgb="FF77933C"/>
        <bgColor rgb="FF878787"/>
      </patternFill>
    </fill>
    <fill>
      <patternFill patternType="solid">
        <fgColor rgb="FFC3D69B"/>
        <bgColor rgb="FFD7E4BD"/>
      </patternFill>
    </fill>
    <fill>
      <patternFill patternType="solid">
        <fgColor rgb="FFEBF1DE"/>
        <bgColor rgb="FFF2F2F2"/>
      </patternFill>
    </fill>
    <fill>
      <patternFill patternType="solid">
        <fgColor rgb="FFFCD5B5"/>
        <bgColor rgb="FFF2DCDB"/>
      </patternFill>
    </fill>
    <fill>
      <patternFill patternType="solid">
        <fgColor rgb="FFDCE6F2"/>
        <bgColor rgb="FFDBEEF4"/>
      </patternFill>
    </fill>
    <fill>
      <patternFill patternType="solid">
        <fgColor rgb="FF376092"/>
        <bgColor rgb="FF1F497D"/>
      </patternFill>
    </fill>
    <fill>
      <patternFill patternType="solid">
        <fgColor rgb="FFF2F2F2"/>
        <bgColor rgb="FFEBF1DE"/>
      </patternFill>
    </fill>
    <fill>
      <patternFill patternType="solid">
        <fgColor rgb="FF000000"/>
        <bgColor rgb="FF003300"/>
      </patternFill>
    </fill>
    <fill>
      <patternFill patternType="solid">
        <fgColor rgb="FFD9D9D9"/>
        <bgColor rgb="FFE6E0EC"/>
      </patternFill>
    </fill>
    <fill>
      <patternFill patternType="solid">
        <fgColor rgb="FFDBEEF4"/>
        <bgColor rgb="FFDCE6F2"/>
      </patternFill>
    </fill>
    <fill>
      <patternFill patternType="solid">
        <fgColor rgb="FFA6A6A6"/>
        <bgColor rgb="FFB3A2C7"/>
      </patternFill>
    </fill>
    <fill>
      <patternFill patternType="solid">
        <fgColor rgb="FF4F6228"/>
        <bgColor rgb="FF376092"/>
      </patternFill>
    </fill>
    <fill>
      <patternFill patternType="solid">
        <fgColor rgb="FF4F81BD"/>
        <bgColor rgb="FF558ED5"/>
      </patternFill>
    </fill>
    <fill>
      <patternFill patternType="solid">
        <fgColor rgb="FF558ED5"/>
        <bgColor rgb="FF4F81BD"/>
      </patternFill>
    </fill>
    <fill>
      <patternFill patternType="solid">
        <fgColor rgb="FF8EB4E3"/>
        <bgColor rgb="FF95B3D7"/>
      </patternFill>
    </fill>
    <fill>
      <patternFill patternType="solid">
        <fgColor rgb="FF002060"/>
        <bgColor rgb="FF000080"/>
      </patternFill>
    </fill>
    <fill>
      <patternFill patternType="solid">
        <fgColor rgb="FFC0C0C0"/>
        <bgColor rgb="FFCCC1DA"/>
      </patternFill>
    </fill>
    <fill>
      <patternFill patternType="solid">
        <fgColor rgb="FFFFFF00"/>
        <bgColor rgb="FFFAC090"/>
      </patternFill>
    </fill>
  </fills>
  <borders count="56">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bottom/>
      <diagonal/>
    </border>
    <border diagonalUp="false" diagonalDown="false">
      <left style="medium"/>
      <right/>
      <top style="medium"/>
      <bottom style="mediu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diagonal/>
    </border>
    <border diagonalUp="false" diagonalDown="false">
      <left style="thin"/>
      <right/>
      <top style="thin"/>
      <bottom/>
      <diagonal/>
    </border>
    <border diagonalUp="false" diagonalDown="false">
      <left/>
      <right/>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right/>
      <top style="thin"/>
      <bottom/>
      <diagonal/>
    </border>
    <border diagonalUp="false" diagonalDown="false">
      <left/>
      <right/>
      <top/>
      <bottom style="thin"/>
      <diagonal/>
    </border>
    <border diagonalUp="false" diagonalDown="false">
      <left style="medium"/>
      <right style="medium"/>
      <top/>
      <bottom/>
      <diagonal/>
    </border>
    <border diagonalUp="false" diagonalDown="false">
      <left style="medium"/>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diagonal/>
    </border>
    <border diagonalUp="false" diagonalDown="false">
      <left style="medium"/>
      <right style="thin"/>
      <top style="medium"/>
      <bottom style="medium"/>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thin"/>
      <right style="medium"/>
      <top/>
      <bottom style="thin"/>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medium"/>
      <right style="thin"/>
      <top style="thin"/>
      <bottom style="thin"/>
      <diagonal/>
    </border>
    <border diagonalUp="false" diagonalDown="false">
      <left style="thin"/>
      <right style="medium"/>
      <top style="medium"/>
      <bottom style="medium"/>
      <diagonal/>
    </border>
    <border diagonalUp="false" diagonalDown="false">
      <left style="thin"/>
      <right style="medium"/>
      <top style="medium"/>
      <bottom/>
      <diagonal/>
    </border>
    <border diagonalUp="false" diagonalDown="false">
      <left style="thin"/>
      <right/>
      <top style="medium"/>
      <bottom style="thin"/>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thin"/>
      <right/>
      <top style="thin"/>
      <bottom style="medium"/>
      <diagonal/>
    </border>
    <border diagonalUp="false" diagonalDown="false">
      <left style="medium"/>
      <right style="medium"/>
      <top style="thin"/>
      <bottom style="medium"/>
      <diagonal/>
    </border>
    <border diagonalUp="false" diagonalDown="false">
      <left style="medium"/>
      <right style="medium"/>
      <top/>
      <bottom style="thin"/>
      <diagonal/>
    </border>
    <border diagonalUp="false" diagonalDown="false">
      <left style="medium"/>
      <right style="thin"/>
      <top/>
      <bottom style="medium"/>
      <diagonal/>
    </border>
    <border diagonalUp="false" diagonalDown="false">
      <left style="medium"/>
      <right style="medium"/>
      <top style="thin"/>
      <botto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bottom/>
      <diagonal/>
    </border>
    <border diagonalUp="false" diagonalDown="false">
      <left/>
      <right style="thin"/>
      <top style="medium"/>
      <bottom style="medium"/>
      <diagonal/>
    </border>
  </borders>
  <cellStyleXfs count="9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29"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xf numFmtId="168" fontId="0" fillId="0" borderId="0" applyFont="true" applyBorder="false" applyAlignment="true" applyProtection="false">
      <alignment horizontal="general" vertical="bottom" textRotation="0" wrapText="false" indent="0" shrinkToFit="false"/>
    </xf>
  </cellStyleXfs>
  <cellXfs count="632">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left" vertical="bottom" textRotation="0" wrapText="false" indent="0" shrinkToFit="false"/>
      <protection locked="true" hidden="false"/>
    </xf>
    <xf numFmtId="164" fontId="6" fillId="2" borderId="0" xfId="0" applyFont="true" applyBorder="false" applyAlignment="false" applyProtection="false">
      <alignment horizontal="general" vertical="bottom" textRotation="0" wrapText="false" indent="0" shrinkToFit="false"/>
      <protection locked="true" hidden="false"/>
    </xf>
    <xf numFmtId="164" fontId="8" fillId="2"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false" applyProtection="false">
      <alignment horizontal="general" vertical="bottom" textRotation="0" wrapText="false" indent="0" shrinkToFit="false"/>
      <protection locked="true" hidden="false"/>
    </xf>
    <xf numFmtId="164" fontId="8" fillId="4" borderId="1" xfId="0" applyFont="true" applyBorder="true" applyAlignment="false" applyProtection="false">
      <alignment horizontal="general" vertical="bottom" textRotation="0" wrapText="false" indent="0" shrinkToFit="false"/>
      <protection locked="true" hidden="false"/>
    </xf>
    <xf numFmtId="164" fontId="8" fillId="5" borderId="1"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false" applyAlignment="false" applyProtection="false">
      <alignment horizontal="general" vertical="bottom" textRotation="0" wrapText="fals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left" vertical="bottom" textRotation="0" wrapText="false" indent="0" shrinkToFit="false"/>
      <protection locked="true" hidden="false"/>
    </xf>
    <xf numFmtId="164" fontId="13" fillId="5" borderId="2"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2" fillId="0" borderId="3" xfId="0" applyFont="true" applyBorder="true" applyAlignment="false" applyProtection="false">
      <alignment horizontal="general" vertical="bottom" textRotation="0" wrapText="false" indent="0" shrinkToFit="false"/>
      <protection locked="true" hidden="false"/>
    </xf>
    <xf numFmtId="164" fontId="13" fillId="0" borderId="4" xfId="0" applyFont="true" applyBorder="true" applyAlignment="true" applyProtection="false">
      <alignment horizontal="center" vertical="bottom" textRotation="0" wrapText="false" indent="0" shrinkToFit="false"/>
      <protection locked="true" hidden="false"/>
    </xf>
    <xf numFmtId="164" fontId="12" fillId="0" borderId="5" xfId="0" applyFont="true" applyBorder="true" applyAlignment="false" applyProtection="false">
      <alignment horizontal="general" vertical="bottom" textRotation="0" wrapText="false" indent="0" shrinkToFit="false"/>
      <protection locked="true" hidden="false"/>
    </xf>
    <xf numFmtId="164" fontId="12" fillId="0" borderId="6" xfId="0" applyFont="true" applyBorder="true" applyAlignment="false" applyProtection="false">
      <alignment horizontal="general" vertical="bottom" textRotation="0" wrapText="false" indent="0" shrinkToFit="false"/>
      <protection locked="true" hidden="false"/>
    </xf>
    <xf numFmtId="170" fontId="4" fillId="6" borderId="1" xfId="34" applyFont="false" applyBorder="tru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general" vertical="center" textRotation="0" wrapText="false" indent="0" shrinkToFit="false"/>
      <protection locked="true" hidden="false"/>
    </xf>
    <xf numFmtId="164" fontId="12" fillId="0" borderId="7" xfId="0" applyFont="true" applyBorder="true" applyAlignment="false" applyProtection="false">
      <alignment horizontal="general" vertical="bottom" textRotation="0" wrapText="false" indent="0" shrinkToFit="false"/>
      <protection locked="true" hidden="false"/>
    </xf>
    <xf numFmtId="164" fontId="15" fillId="3" borderId="8" xfId="34" applyFont="true" applyBorder="true" applyAlignment="true" applyProtection="false">
      <alignment horizontal="general" vertical="center" textRotation="0" wrapText="false" indent="0" shrinkToFit="false"/>
      <protection locked="true" hidden="false"/>
    </xf>
    <xf numFmtId="164" fontId="16" fillId="3" borderId="9" xfId="34" applyFont="true" applyBorder="true" applyAlignment="true" applyProtection="false">
      <alignment horizontal="general" vertical="center"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false"/>
    </xf>
    <xf numFmtId="172" fontId="4" fillId="4" borderId="1" xfId="72" applyFont="true" applyBorder="true" applyAlignment="true" applyProtection="true">
      <alignment horizontal="center" vertical="center" textRotation="0" wrapText="false" indent="0" shrinkToFit="false"/>
      <protection locked="true" hidden="false"/>
    </xf>
    <xf numFmtId="172" fontId="4" fillId="7" borderId="1" xfId="72"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false" applyProtection="false">
      <alignment horizontal="general" vertical="bottom" textRotation="0" wrapText="false" indent="0" shrinkToFit="false"/>
      <protection locked="true" hidden="false"/>
    </xf>
    <xf numFmtId="164" fontId="12" fillId="0" borderId="11" xfId="0" applyFont="true" applyBorder="true" applyAlignment="false" applyProtection="false">
      <alignment horizontal="general" vertical="bottom" textRotation="0" wrapText="false" indent="0" shrinkToFit="false"/>
      <protection locked="true" hidden="false"/>
    </xf>
    <xf numFmtId="164" fontId="12" fillId="0" borderId="12" xfId="0" applyFont="true" applyBorder="true" applyAlignment="false" applyProtection="false">
      <alignment horizontal="general" vertical="bottom" textRotation="0" wrapText="false" indent="0" shrinkToFit="false"/>
      <protection locked="true" hidden="false"/>
    </xf>
    <xf numFmtId="171" fontId="4" fillId="6" borderId="1" xfId="72" applyFont="true" applyBorder="true" applyAlignment="true" applyProtection="true">
      <alignment horizontal="center" vertical="center" textRotation="0" wrapText="false" indent="0" shrinkToFit="false"/>
      <protection locked="false" hidden="true"/>
    </xf>
    <xf numFmtId="164" fontId="17" fillId="8" borderId="8" xfId="34" applyFont="true" applyBorder="true" applyAlignment="true" applyProtection="false">
      <alignment horizontal="general" vertical="center" textRotation="0" wrapText="false" indent="0" shrinkToFit="false"/>
      <protection locked="true" hidden="false"/>
    </xf>
    <xf numFmtId="164" fontId="17" fillId="8" borderId="9" xfId="34" applyFont="true" applyBorder="true" applyAlignment="true" applyProtection="false">
      <alignment horizontal="general" vertical="center" textRotation="0" wrapText="false" indent="0" shrinkToFit="false"/>
      <protection locked="true" hidden="false"/>
    </xf>
    <xf numFmtId="171" fontId="4" fillId="7" borderId="1" xfId="72"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8" fillId="9" borderId="1" xfId="0" applyFont="true" applyBorder="true" applyAlignment="true" applyProtection="false">
      <alignment horizontal="center" vertical="bottom" textRotation="0" wrapText="false" indent="0" shrinkToFit="false"/>
      <protection locked="true" hidden="false"/>
    </xf>
    <xf numFmtId="164" fontId="16" fillId="3" borderId="1" xfId="34" applyFont="true" applyBorder="true" applyAlignment="true" applyProtection="false">
      <alignment horizontal="center" vertical="center" textRotation="0" wrapText="false" indent="0" shrinkToFit="false"/>
      <protection locked="true" hidden="false"/>
    </xf>
    <xf numFmtId="172" fontId="4" fillId="6" borderId="1" xfId="72" applyFont="true" applyBorder="true" applyAlignment="true" applyProtection="tru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20" fillId="0" borderId="0" xfId="0" applyFont="true" applyBorder="false" applyAlignment="true" applyProtection="false">
      <alignment horizontal="right" vertical="center" textRotation="90" wrapText="false" indent="0" shrinkToFit="false"/>
      <protection locked="true" hidden="false"/>
    </xf>
    <xf numFmtId="164" fontId="7" fillId="0" borderId="0" xfId="0" applyFont="true" applyBorder="fals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false" indent="0" shrinkToFit="false"/>
      <protection locked="true" hidden="false"/>
    </xf>
    <xf numFmtId="164" fontId="7" fillId="6" borderId="1" xfId="0" applyFont="true" applyBorder="true" applyAlignment="true" applyProtection="false">
      <alignment horizontal="center" vertical="center" textRotation="0" wrapText="true" indent="0" shrinkToFit="false"/>
      <protection locked="true" hidden="false"/>
    </xf>
    <xf numFmtId="164" fontId="7" fillId="3" borderId="1" xfId="0" applyFont="true" applyBorder="true" applyAlignment="true" applyProtection="false">
      <alignment horizontal="right" vertical="bottom" textRotation="0" wrapText="true" indent="0" shrinkToFit="false"/>
      <protection locked="true" hidden="false"/>
    </xf>
    <xf numFmtId="164" fontId="18" fillId="9" borderId="1" xfId="0" applyFont="true" applyBorder="true" applyAlignment="true" applyProtection="false">
      <alignment horizontal="center" vertical="center" textRotation="90" wrapText="false" indent="0" shrinkToFit="false"/>
      <protection locked="true" hidden="false"/>
    </xf>
    <xf numFmtId="170" fontId="4" fillId="6" borderId="1" xfId="34" applyFont="fals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20" fillId="0" borderId="13" xfId="0" applyFont="true" applyBorder="true" applyAlignment="true" applyProtection="false">
      <alignment horizontal="right" vertical="center" textRotation="90" wrapText="false" indent="0" shrinkToFit="false"/>
      <protection locked="true" hidden="false"/>
    </xf>
    <xf numFmtId="164" fontId="18" fillId="9"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true" applyAlignment="true" applyProtection="false">
      <alignment horizontal="left" vertical="bottom" textRotation="0" wrapText="false" indent="0" shrinkToFit="false"/>
      <protection locked="true" hidden="false"/>
    </xf>
    <xf numFmtId="164" fontId="18" fillId="8" borderId="1" xfId="0" applyFont="true" applyBorder="true" applyAlignment="true" applyProtection="false">
      <alignment horizontal="center" vertical="bottom" textRotation="0" wrapText="false" indent="0" shrinkToFit="false"/>
      <protection locked="true" hidden="false"/>
    </xf>
    <xf numFmtId="164" fontId="15" fillId="7" borderId="1" xfId="34" applyFont="true" applyBorder="true" applyAlignment="true" applyProtection="false">
      <alignment horizontal="center" vertical="center" textRotation="0" wrapText="false" indent="0" shrinkToFit="false"/>
      <protection locked="true" hidden="false"/>
    </xf>
    <xf numFmtId="172" fontId="4" fillId="5" borderId="1" xfId="72" applyFont="true" applyBorder="true" applyAlignment="true" applyProtection="true">
      <alignment horizontal="center" vertical="center" textRotation="0" wrapText="false" indent="0" shrinkToFit="false"/>
      <protection locked="true" hidden="false"/>
    </xf>
    <xf numFmtId="165" fontId="4" fillId="6" borderId="1" xfId="17"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left" vertical="bottom" textRotation="0" wrapText="false" indent="0" shrinkToFit="false"/>
      <protection locked="true" hidden="false"/>
    </xf>
    <xf numFmtId="164" fontId="13" fillId="5" borderId="14"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6" borderId="1"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center" vertical="bottom" textRotation="0" wrapText="true" indent="0" shrinkToFit="false"/>
      <protection locked="true" hidden="false"/>
    </xf>
    <xf numFmtId="164" fontId="23" fillId="0" borderId="0" xfId="0" applyFont="true" applyBorder="false" applyAlignment="true" applyProtection="false">
      <alignment horizontal="left"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xf numFmtId="164" fontId="23" fillId="3" borderId="1" xfId="0" applyFont="true" applyBorder="tru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right" vertical="bottom" textRotation="0" wrapText="true" indent="0" shrinkToFit="false"/>
      <protection locked="true" hidden="false"/>
    </xf>
    <xf numFmtId="164" fontId="23" fillId="3" borderId="1" xfId="0" applyFont="true" applyBorder="true" applyAlignment="true" applyProtection="false">
      <alignment horizontal="center" vertical="bottom" textRotation="0" wrapText="false" indent="0" shrinkToFit="false"/>
      <protection locked="true" hidden="false"/>
    </xf>
    <xf numFmtId="173" fontId="23" fillId="6" borderId="8" xfId="36" applyFont="true" applyBorder="true" applyAlignment="true" applyProtection="false">
      <alignment horizontal="general" vertical="center" textRotation="0" wrapText="true" indent="0" shrinkToFit="false"/>
      <protection locked="true" hidden="false"/>
    </xf>
    <xf numFmtId="174" fontId="23" fillId="6" borderId="9" xfId="36" applyFont="true" applyBorder="true" applyAlignment="true" applyProtection="false">
      <alignment horizontal="general" vertical="center" textRotation="0" wrapText="true" indent="0" shrinkToFit="false"/>
      <protection locked="true" hidden="false"/>
    </xf>
    <xf numFmtId="173" fontId="23" fillId="0" borderId="0" xfId="0" applyFont="true" applyBorder="false" applyAlignment="true" applyProtection="false">
      <alignment horizontal="left" vertical="bottom" textRotation="0" wrapText="false" indent="0" shrinkToFit="false"/>
      <protection locked="true" hidden="false"/>
    </xf>
    <xf numFmtId="164" fontId="25" fillId="9" borderId="1"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5" fillId="8" borderId="15" xfId="0" applyFont="true" applyBorder="true" applyAlignment="true" applyProtection="false">
      <alignment horizontal="center" vertical="center" textRotation="0" wrapText="true" indent="0" shrinkToFit="false"/>
      <protection locked="true" hidden="false"/>
    </xf>
    <xf numFmtId="164" fontId="25" fillId="9" borderId="8" xfId="0" applyFont="true" applyBorder="true" applyAlignment="true" applyProtection="false">
      <alignment horizontal="center" vertical="center" textRotation="0" wrapText="true" indent="0" shrinkToFit="false"/>
      <protection locked="true" hidden="false"/>
    </xf>
    <xf numFmtId="164" fontId="25" fillId="8" borderId="1" xfId="0" applyFont="true" applyBorder="true" applyAlignment="true" applyProtection="false">
      <alignment horizontal="center" vertical="center" textRotation="0" wrapText="true" indent="0" shrinkToFit="false"/>
      <protection locked="true" hidden="false"/>
    </xf>
    <xf numFmtId="164" fontId="22" fillId="6" borderId="1"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true">
      <alignment horizontal="center" vertical="bottom" textRotation="0" wrapText="true" indent="0" shrinkToFit="false"/>
      <protection locked="false" hidden="false"/>
    </xf>
    <xf numFmtId="164" fontId="5" fillId="6" borderId="1" xfId="0" applyFont="true" applyBorder="true" applyAlignment="true" applyProtection="true">
      <alignment horizontal="center" vertical="bottom" textRotation="0" wrapText="false" indent="0" shrinkToFit="false"/>
      <protection locked="false" hidden="false"/>
    </xf>
    <xf numFmtId="164" fontId="5" fillId="6" borderId="1" xfId="0" applyFont="true" applyBorder="true" applyAlignment="true" applyProtection="true">
      <alignment horizontal="center" vertical="center" textRotation="0" wrapText="false" indent="0" shrinkToFit="false"/>
      <protection locked="false" hidden="false"/>
    </xf>
    <xf numFmtId="164" fontId="5" fillId="6" borderId="8" xfId="0" applyFont="true" applyBorder="true" applyAlignment="true" applyProtection="true">
      <alignment horizontal="center" vertical="center" textRotation="0" wrapText="false" indent="0" shrinkToFit="false"/>
      <protection locked="false" hidden="false"/>
    </xf>
    <xf numFmtId="174" fontId="22" fillId="5" borderId="1" xfId="0" applyFont="true" applyBorder="true" applyAlignment="true" applyProtection="false">
      <alignment horizontal="center" vertical="bottom" textRotation="0" wrapText="false" indent="0" shrinkToFit="false"/>
      <protection locked="true" hidden="false"/>
    </xf>
    <xf numFmtId="164" fontId="5" fillId="6" borderId="8" xfId="0" applyFont="true" applyBorder="true" applyAlignment="true" applyProtection="false">
      <alignment horizontal="center" vertical="bottom" textRotation="0" wrapText="false" indent="0" shrinkToFit="false"/>
      <protection locked="true" hidden="false"/>
    </xf>
    <xf numFmtId="164" fontId="5" fillId="6" borderId="1" xfId="0" applyFont="true" applyBorder="true" applyAlignment="true" applyProtection="false">
      <alignment horizontal="center" vertical="bottom" textRotation="0" wrapText="false" indent="0" shrinkToFit="false"/>
      <protection locked="true" hidden="false"/>
    </xf>
    <xf numFmtId="164" fontId="22" fillId="6" borderId="8" xfId="0" applyFont="true" applyBorder="true" applyAlignment="true" applyProtection="false">
      <alignment horizontal="center" vertical="bottom" textRotation="0" wrapText="false" indent="0" shrinkToFit="false"/>
      <protection locked="true" hidden="false"/>
    </xf>
    <xf numFmtId="174" fontId="27" fillId="5" borderId="1" xfId="0" applyFont="true" applyBorder="true" applyAlignment="true" applyProtection="false">
      <alignment horizontal="center" vertical="center" textRotation="0" wrapText="false" indent="0" shrinkToFit="false"/>
      <protection locked="true" hidden="false"/>
    </xf>
    <xf numFmtId="174" fontId="22" fillId="0" borderId="0" xfId="0" applyFont="true" applyBorder="false" applyAlignment="false" applyProtection="false">
      <alignment horizontal="general" vertical="bottom" textRotation="0" wrapText="false" indent="0" shrinkToFit="false"/>
      <protection locked="true" hidden="false"/>
    </xf>
    <xf numFmtId="172" fontId="15" fillId="10" borderId="1" xfId="72" applyFont="true" applyBorder="true" applyAlignment="true" applyProtection="true">
      <alignment horizontal="center" vertical="center" textRotation="0" wrapText="false" indent="0" shrinkToFit="false"/>
      <protection locked="true" hidden="false"/>
    </xf>
    <xf numFmtId="164" fontId="13" fillId="11" borderId="1" xfId="0" applyFont="true" applyBorder="true" applyAlignment="true" applyProtection="false">
      <alignment horizontal="center" vertical="bottom" textRotation="0" wrapText="false" indent="0" shrinkToFit="false"/>
      <protection locked="true" hidden="false"/>
    </xf>
    <xf numFmtId="164" fontId="16" fillId="11" borderId="8" xfId="34" applyFont="true" applyBorder="true" applyAlignment="true" applyProtection="false">
      <alignment horizontal="left" vertical="bottom" textRotation="0" wrapText="false" indent="0" shrinkToFit="false"/>
      <protection locked="true" hidden="false"/>
    </xf>
    <xf numFmtId="164" fontId="12" fillId="12" borderId="1" xfId="0" applyFont="true" applyBorder="true" applyAlignment="true" applyProtection="false">
      <alignment horizontal="center" vertical="bottom" textRotation="0" wrapText="false" indent="0" shrinkToFit="false"/>
      <protection locked="true" hidden="false"/>
    </xf>
    <xf numFmtId="164" fontId="18" fillId="9" borderId="8" xfId="34" applyFont="true" applyBorder="true" applyAlignment="true" applyProtection="false">
      <alignment horizontal="center" vertical="center" textRotation="0" wrapText="false" indent="0" shrinkToFit="false"/>
      <protection locked="true" hidden="false"/>
    </xf>
    <xf numFmtId="164" fontId="18" fillId="9" borderId="1" xfId="34" applyFont="true" applyBorder="true" applyAlignment="true" applyProtection="false">
      <alignment horizontal="center" vertical="center" textRotation="0" wrapText="false" indent="0" shrinkToFit="false"/>
      <protection locked="true" hidden="false"/>
    </xf>
    <xf numFmtId="164" fontId="28" fillId="3" borderId="8" xfId="34" applyFont="true" applyBorder="true" applyAlignment="true" applyProtection="false">
      <alignment horizontal="left" vertical="bottom" textRotation="0" wrapText="false" indent="0" shrinkToFit="false"/>
      <protection locked="true" hidden="false"/>
    </xf>
    <xf numFmtId="175" fontId="4" fillId="6" borderId="1" xfId="72" applyFont="true" applyBorder="true" applyAlignment="true" applyProtection="true">
      <alignment horizontal="center" vertical="center" textRotation="0" wrapText="false" indent="0" shrinkToFit="false"/>
      <protection locked="true" hidden="false"/>
    </xf>
    <xf numFmtId="175" fontId="12" fillId="0" borderId="0" xfId="0" applyFont="true" applyBorder="false" applyAlignment="false" applyProtection="false">
      <alignment horizontal="general" vertical="bottom" textRotation="0" wrapText="false" indent="0" shrinkToFit="false"/>
      <protection locked="true" hidden="false"/>
    </xf>
    <xf numFmtId="164" fontId="28" fillId="3" borderId="1" xfId="34" applyFont="true" applyBorder="true" applyAlignment="true" applyProtection="false">
      <alignment horizontal="center" vertical="center" textRotation="0" wrapText="false" indent="0" shrinkToFit="false"/>
      <protection locked="true" hidden="false"/>
    </xf>
    <xf numFmtId="175" fontId="4" fillId="13" borderId="16" xfId="72" applyFont="true" applyBorder="true" applyAlignment="true" applyProtection="true">
      <alignment horizontal="center" vertical="center" textRotation="0" wrapText="false" indent="0" shrinkToFit="false"/>
      <protection locked="true" hidden="false"/>
    </xf>
    <xf numFmtId="175" fontId="4" fillId="13" borderId="1" xfId="72" applyFont="true" applyBorder="true" applyAlignment="true" applyProtection="true">
      <alignment horizontal="center" vertical="center" textRotation="0" wrapText="false" indent="0" shrinkToFit="false"/>
      <protection locked="true" hidden="false"/>
    </xf>
    <xf numFmtId="175" fontId="15" fillId="13" borderId="1" xfId="72" applyFont="true" applyBorder="true" applyAlignment="true" applyProtection="true">
      <alignment horizontal="center" vertical="center" textRotation="0" wrapText="false" indent="0" shrinkToFit="false"/>
      <protection locked="true" hidden="false"/>
    </xf>
    <xf numFmtId="175" fontId="15" fillId="6" borderId="1" xfId="72" applyFont="true" applyBorder="true" applyAlignment="true" applyProtection="true">
      <alignment horizontal="center" vertical="center" textRotation="0" wrapText="false" indent="0" shrinkToFit="false"/>
      <protection locked="false" hidden="false"/>
    </xf>
    <xf numFmtId="164" fontId="28" fillId="3" borderId="1" xfId="34" applyFont="true" applyBorder="tru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right"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right" vertical="bottom" textRotation="0" wrapText="false" indent="0" shrinkToFit="false"/>
      <protection locked="true" hidden="false"/>
    </xf>
    <xf numFmtId="164" fontId="28" fillId="0" borderId="0" xfId="34" applyFont="true" applyBorder="false" applyAlignment="false" applyProtection="false">
      <alignment horizontal="general" vertical="bottom"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true" hidden="false"/>
    </xf>
    <xf numFmtId="169" fontId="15" fillId="7" borderId="1" xfId="72" applyFont="true" applyBorder="true" applyAlignment="true" applyProtection="true">
      <alignment horizontal="general" vertical="bottom" textRotation="0" wrapText="false" indent="0" shrinkToFit="false"/>
      <protection locked="true" hidden="false"/>
    </xf>
    <xf numFmtId="170" fontId="15" fillId="7" borderId="1" xfId="72" applyFont="true" applyBorder="true" applyAlignment="true" applyProtection="true">
      <alignment horizontal="general" vertical="bottom" textRotation="0" wrapText="false" indent="0" shrinkToFit="false"/>
      <protection locked="true" hidden="false"/>
    </xf>
    <xf numFmtId="167" fontId="14" fillId="13" borderId="1" xfId="65" applyFont="true" applyBorder="true" applyAlignment="true" applyProtection="true">
      <alignment horizontal="general" vertical="bottom" textRotation="0" wrapText="false" indent="0" shrinkToFit="false"/>
      <protection locked="true" hidden="false"/>
    </xf>
    <xf numFmtId="167" fontId="14" fillId="13" borderId="1" xfId="53"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bottom" textRotation="0" wrapText="false" indent="0" shrinkToFit="false"/>
      <protection locked="true" hidden="false"/>
    </xf>
    <xf numFmtId="164" fontId="29" fillId="0" borderId="0" xfId="20" applyFont="true" applyBorder="true" applyAlignment="true" applyProtection="true">
      <alignment horizontal="general" vertical="bottom" textRotation="0" wrapText="false" indent="0" shrinkToFit="false"/>
      <protection locked="true" hidden="false"/>
    </xf>
    <xf numFmtId="164" fontId="23" fillId="3" borderId="8" xfId="0" applyFont="true" applyBorder="true" applyAlignment="false" applyProtection="false">
      <alignment horizontal="general" vertical="bottom" textRotation="0" wrapText="false" indent="0" shrinkToFit="false"/>
      <protection locked="true" hidden="false"/>
    </xf>
    <xf numFmtId="164" fontId="23" fillId="3" borderId="8" xfId="0" applyFont="true" applyBorder="true" applyAlignment="true" applyProtection="false">
      <alignment horizontal="general" vertical="bottom" textRotation="0" wrapText="true" indent="0" shrinkToFit="false"/>
      <protection locked="true" hidden="false"/>
    </xf>
    <xf numFmtId="164" fontId="18" fillId="8" borderId="8" xfId="34" applyFont="true" applyBorder="true" applyAlignment="true" applyProtection="false">
      <alignment horizontal="center" vertical="center" textRotation="0" wrapText="false" indent="0" shrinkToFit="false"/>
      <protection locked="true" hidden="false"/>
    </xf>
    <xf numFmtId="164" fontId="18" fillId="8" borderId="1" xfId="34" applyFont="true" applyBorder="true" applyAlignment="true" applyProtection="false">
      <alignment horizontal="center" vertical="center" textRotation="0" wrapText="false" indent="0" shrinkToFit="false"/>
      <protection locked="true" hidden="false"/>
    </xf>
    <xf numFmtId="164" fontId="28" fillId="7" borderId="8" xfId="34" applyFont="true" applyBorder="true" applyAlignment="true" applyProtection="false">
      <alignment horizontal="left" vertical="bottom" textRotation="0" wrapText="false" indent="0" shrinkToFit="false"/>
      <protection locked="true" hidden="false"/>
    </xf>
    <xf numFmtId="176" fontId="4" fillId="5" borderId="1" xfId="15"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73" fontId="4" fillId="5" borderId="1" xfId="15" applyFont="true" applyBorder="true" applyAlignment="true" applyProtection="true">
      <alignment horizontal="center" vertical="center" textRotation="0" wrapText="false" indent="0" shrinkToFit="false"/>
      <protection locked="true" hidden="false"/>
    </xf>
    <xf numFmtId="174" fontId="4" fillId="5" borderId="1" xfId="15" applyFont="true" applyBorder="true" applyAlignment="true" applyProtection="true">
      <alignment horizontal="center" vertical="center" textRotation="0" wrapText="false" indent="0" shrinkToFit="false"/>
      <protection locked="true" hidden="false"/>
    </xf>
    <xf numFmtId="164" fontId="30" fillId="8" borderId="1" xfId="0" applyFont="true" applyBorder="true" applyAlignment="true" applyProtection="false">
      <alignment horizontal="left" vertical="center" textRotation="0" wrapText="true" indent="0" shrinkToFit="false"/>
      <protection locked="true" hidden="false"/>
    </xf>
    <xf numFmtId="174" fontId="31" fillId="5" borderId="1"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false" applyAlignment="true" applyProtection="false">
      <alignment horizontal="general" vertical="center" textRotation="0" wrapText="false" indent="0" shrinkToFit="false"/>
      <protection locked="true" hidden="false"/>
    </xf>
    <xf numFmtId="174" fontId="12"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77" fontId="4" fillId="6" borderId="1" xfId="72" applyFont="true" applyBorder="true" applyAlignment="true" applyProtection="true">
      <alignment horizontal="center" vertical="center" textRotation="0" wrapText="false" indent="0" shrinkToFit="false"/>
      <protection locked="true" hidden="false"/>
    </xf>
    <xf numFmtId="178" fontId="4" fillId="6" borderId="1" xfId="72" applyFont="true" applyBorder="true" applyAlignment="true" applyProtection="true">
      <alignment horizontal="center" vertical="center" textRotation="0" wrapText="false" indent="0" shrinkToFit="false"/>
      <protection locked="true" hidden="false"/>
    </xf>
    <xf numFmtId="164" fontId="28" fillId="7" borderId="1" xfId="34" applyFont="true" applyBorder="true" applyAlignment="true" applyProtection="false">
      <alignment horizontal="left" vertical="bottom" textRotation="0" wrapText="false" indent="0" shrinkToFit="false"/>
      <protection locked="true" hidden="false"/>
    </xf>
    <xf numFmtId="177" fontId="4" fillId="14" borderId="1" xfId="72" applyFont="true" applyBorder="true" applyAlignment="true" applyProtection="true">
      <alignment horizontal="center" vertical="center" textRotation="0" wrapText="false" indent="0" shrinkToFit="false"/>
      <protection locked="true" hidden="false"/>
    </xf>
    <xf numFmtId="164" fontId="34" fillId="8" borderId="1" xfId="34" applyFont="true" applyBorder="true" applyAlignment="true" applyProtection="false">
      <alignment horizontal="left" vertical="center" textRotation="0" wrapText="false" indent="10" shrinkToFit="false"/>
      <protection locked="true" hidden="false"/>
    </xf>
    <xf numFmtId="179" fontId="35" fillId="5" borderId="1" xfId="72" applyFont="true" applyBorder="true" applyAlignment="true" applyProtection="true">
      <alignment horizontal="center" vertical="center" textRotation="0" wrapText="false" indent="0" shrinkToFit="false"/>
      <protection locked="true" hidden="false"/>
    </xf>
    <xf numFmtId="164" fontId="36" fillId="2" borderId="0" xfId="0" applyFont="true" applyBorder="false" applyAlignment="true" applyProtection="false">
      <alignment horizontal="right" vertical="bottom" textRotation="0" wrapText="false" indent="0" shrinkToFit="false"/>
      <protection locked="true" hidden="false"/>
    </xf>
    <xf numFmtId="164" fontId="37"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36" fillId="2" borderId="0" xfId="0" applyFont="true" applyBorder="false" applyAlignment="true" applyProtection="false">
      <alignment horizontal="left" vertical="bottom" textRotation="0" wrapText="false" indent="0" shrinkToFit="false"/>
      <protection locked="true" hidden="false"/>
    </xf>
    <xf numFmtId="164" fontId="11" fillId="0" borderId="0" xfId="0" applyFont="true" applyBorder="true" applyAlignment="true" applyProtection="false">
      <alignment horizontal="left" vertical="bottom" textRotation="0" wrapText="true" indent="0" shrinkToFit="false"/>
      <protection locked="true" hidden="false"/>
    </xf>
    <xf numFmtId="164" fontId="40"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tru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left" vertical="bottom" textRotation="0" wrapText="false" indent="0" shrinkToFit="false"/>
      <protection locked="true" hidden="false"/>
    </xf>
    <xf numFmtId="164" fontId="37" fillId="2" borderId="0" xfId="0" applyFont="true" applyBorder="false" applyAlignment="true" applyProtection="false">
      <alignment horizontal="right" vertical="bottom" textRotation="0" wrapText="false" indent="0" shrinkToFit="false"/>
      <protection locked="true" hidden="false"/>
    </xf>
    <xf numFmtId="164" fontId="37" fillId="2" borderId="17" xfId="0" applyFont="true" applyBorder="true" applyAlignment="true" applyProtection="false">
      <alignment horizontal="left" vertical="bottom" textRotation="0" wrapText="false" indent="0" shrinkToFit="false"/>
      <protection locked="true" hidden="false"/>
    </xf>
    <xf numFmtId="164" fontId="12" fillId="2" borderId="0" xfId="0" applyFont="true" applyBorder="false" applyAlignment="false" applyProtection="false">
      <alignment horizontal="general" vertical="bottom"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4" fontId="11" fillId="2" borderId="0" xfId="0" applyFont="tru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right"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true" indent="0" shrinkToFit="false"/>
      <protection locked="true" hidden="false"/>
    </xf>
    <xf numFmtId="180" fontId="4" fillId="11" borderId="1" xfId="72" applyFont="true" applyBorder="true" applyAlignment="true" applyProtection="true">
      <alignment horizontal="general" vertical="center" textRotation="0" wrapText="false" indent="0" shrinkToFit="false"/>
      <protection locked="false" hidden="false"/>
    </xf>
    <xf numFmtId="164" fontId="12"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9" fillId="2" borderId="2" xfId="20" applyFont="true" applyBorder="true" applyAlignment="true" applyProtection="true">
      <alignment horizontal="left" vertical="center" textRotation="0" wrapText="false" indent="0" shrinkToFit="false"/>
      <protection locked="true" hidden="false"/>
    </xf>
    <xf numFmtId="164" fontId="11" fillId="2" borderId="0" xfId="0" applyFont="true" applyBorder="false" applyAlignment="true" applyProtection="false">
      <alignment horizontal="left" vertical="bottom" textRotation="0" wrapText="false" indent="0" shrinkToFit="false"/>
      <protection locked="true" hidden="false"/>
    </xf>
    <xf numFmtId="180" fontId="4" fillId="13" borderId="1" xfId="72" applyFont="true" applyBorder="true" applyAlignment="true" applyProtection="true">
      <alignment horizontal="general" vertical="bottom" textRotation="0" wrapText="false" indent="0" shrinkToFit="false"/>
      <protection locked="true" hidden="false"/>
    </xf>
    <xf numFmtId="181" fontId="4" fillId="11"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true" applyAlignment="true" applyProtection="false">
      <alignment horizontal="right" vertical="center" textRotation="0" wrapText="false" indent="0" shrinkToFit="false"/>
      <protection locked="true" hidden="false"/>
    </xf>
    <xf numFmtId="164" fontId="37" fillId="2" borderId="0" xfId="0" applyFont="true" applyBorder="true" applyAlignment="true" applyProtection="false">
      <alignment horizontal="left" vertical="center" textRotation="0" wrapText="false" indent="0" shrinkToFit="false"/>
      <protection locked="true" hidden="false"/>
    </xf>
    <xf numFmtId="169" fontId="4" fillId="13" borderId="1" xfId="72" applyFont="true" applyBorder="true" applyAlignment="true" applyProtection="true">
      <alignment horizontal="general" vertical="bottom" textRotation="0" wrapText="false" indent="0" shrinkToFit="false"/>
      <protection locked="false" hidden="false"/>
    </xf>
    <xf numFmtId="164" fontId="37" fillId="2" borderId="0" xfId="0" applyFont="true" applyBorder="true" applyAlignment="true" applyProtection="false">
      <alignment horizontal="center" vertical="center" textRotation="0" wrapText="false" indent="0" shrinkToFit="false"/>
      <protection locked="true" hidden="false"/>
    </xf>
    <xf numFmtId="182" fontId="4" fillId="11" borderId="1" xfId="72" applyFont="true" applyBorder="true" applyAlignment="true" applyProtection="true">
      <alignment horizontal="general" vertical="center" textRotation="0" wrapText="false" indent="0" shrinkToFit="false"/>
      <protection locked="false" hidden="false"/>
    </xf>
    <xf numFmtId="179" fontId="4" fillId="7" borderId="1" xfId="72" applyFont="true" applyBorder="true" applyAlignment="true" applyProtection="true">
      <alignment horizontal="general" vertical="bottom" textRotation="0" wrapText="fals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false" hidden="false"/>
    </xf>
    <xf numFmtId="180" fontId="4" fillId="11" borderId="1" xfId="72" applyFont="true" applyBorder="true" applyAlignment="true" applyProtection="true">
      <alignment horizontal="general" vertical="bottom" textRotation="0" wrapText="false" indent="0" shrinkToFit="false"/>
      <protection locked="false" hidden="false"/>
    </xf>
    <xf numFmtId="168" fontId="4" fillId="13" borderId="1" xfId="71" applyFont="true" applyBorder="true" applyAlignment="true" applyProtection="true">
      <alignment horizontal="general" vertical="bottom" textRotation="0" wrapText="false" indent="0" shrinkToFit="false"/>
      <protection locked="false" hidden="false"/>
    </xf>
    <xf numFmtId="164" fontId="36" fillId="2" borderId="0" xfId="0" applyFont="true" applyBorder="false" applyAlignment="true" applyProtection="false">
      <alignment horizontal="right"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8" fontId="4" fillId="11" borderId="1" xfId="71" applyFont="true" applyBorder="true" applyAlignment="true" applyProtection="true">
      <alignment horizontal="general" vertical="center" textRotation="0" wrapText="false" indent="0" shrinkToFit="false"/>
      <protection locked="fals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9" fontId="4" fillId="13" borderId="1" xfId="72" applyFont="true" applyBorder="true" applyAlignment="true" applyProtection="true">
      <alignment horizontal="general" vertical="center" textRotation="0" wrapText="false" indent="0" shrinkToFit="false"/>
      <protection locked="true" hidden="false"/>
    </xf>
    <xf numFmtId="164" fontId="11" fillId="2" borderId="0" xfId="0" applyFont="true" applyBorder="false" applyAlignment="true" applyProtection="false">
      <alignment horizontal="general" vertical="center" textRotation="0" wrapText="false" indent="0" shrinkToFit="false"/>
      <protection locked="true" hidden="false"/>
    </xf>
    <xf numFmtId="183" fontId="0" fillId="0" borderId="0" xfId="0" applyFont="false" applyBorder="false" applyAlignment="fals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left" vertical="center" textRotation="0" wrapText="false" indent="0" shrinkToFit="false"/>
      <protection locked="true" hidden="false"/>
    </xf>
    <xf numFmtId="164" fontId="37" fillId="2" borderId="0" xfId="0" applyFont="true" applyBorder="false" applyAlignment="true" applyProtection="false">
      <alignment horizontal="left" vertical="center" textRotation="0" wrapText="true" indent="0" shrinkToFit="false"/>
      <protection locked="true" hidden="false"/>
    </xf>
    <xf numFmtId="169" fontId="4" fillId="11" borderId="1" xfId="72" applyFont="true" applyBorder="true" applyAlignment="true" applyProtection="true">
      <alignment horizontal="general" vertical="bottom" textRotation="0" wrapText="false" indent="0" shrinkToFit="false"/>
      <protection locked="true" hidden="false"/>
    </xf>
    <xf numFmtId="170" fontId="4" fillId="13" borderId="1" xfId="72" applyFont="true" applyBorder="true" applyAlignment="true" applyProtection="true">
      <alignment horizontal="general" vertical="center" textRotation="0" wrapText="false" indent="0" shrinkToFit="false"/>
      <protection locked="true" hidden="false"/>
    </xf>
    <xf numFmtId="168" fontId="4" fillId="11" borderId="1" xfId="15" applyFont="true" applyBorder="true" applyAlignment="true" applyProtection="true">
      <alignment horizontal="general" vertical="center" textRotation="0" wrapText="false" indent="0" shrinkToFit="false"/>
      <protection locked="true" hidden="false"/>
    </xf>
    <xf numFmtId="168" fontId="4" fillId="7" borderId="1" xfId="15" applyFont="true" applyBorder="true" applyAlignment="true" applyProtection="true">
      <alignment horizontal="general" vertical="bottom" textRotation="0" wrapText="false" indent="0" shrinkToFit="false"/>
      <protection locked="true" hidden="false"/>
    </xf>
    <xf numFmtId="184" fontId="4" fillId="13" borderId="1" xfId="19" applyFont="true" applyBorder="true" applyAlignment="true" applyProtection="true">
      <alignment horizontal="general" vertical="center" textRotation="0" wrapText="false" indent="0" shrinkToFit="false"/>
      <protection locked="true" hidden="false"/>
    </xf>
    <xf numFmtId="185" fontId="4" fillId="13" borderId="1" xfId="19" applyFont="true" applyBorder="true" applyAlignment="true" applyProtection="true">
      <alignment horizontal="general" vertical="center" textRotation="0" wrapText="fals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8" fontId="4" fillId="13" borderId="1" xfId="15" applyFont="true" applyBorder="true" applyAlignment="true" applyProtection="true">
      <alignment horizontal="general" vertical="center"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43" fillId="8" borderId="8" xfId="0" applyFont="true" applyBorder="true" applyAlignment="true" applyProtection="false">
      <alignment horizontal="center" vertical="bottom" textRotation="0" wrapText="false" indent="0" shrinkToFit="false"/>
      <protection locked="true" hidden="false"/>
    </xf>
    <xf numFmtId="169" fontId="43" fillId="8" borderId="9" xfId="0" applyFont="true" applyBorder="true" applyAlignment="false" applyProtection="false">
      <alignment horizontal="general" vertical="bottom" textRotation="0" wrapText="false" indent="0" shrinkToFit="false"/>
      <protection locked="true" hidden="false"/>
    </xf>
    <xf numFmtId="169" fontId="5" fillId="0" borderId="0" xfId="0" applyFont="true" applyBorder="false" applyAlignment="false" applyProtection="false">
      <alignment horizontal="general" vertical="bottom" textRotation="0" wrapText="false" indent="0" shrinkToFit="false"/>
      <protection locked="true" hidden="false"/>
    </xf>
    <xf numFmtId="164" fontId="5" fillId="5" borderId="8" xfId="0" applyFont="true" applyBorder="true" applyAlignment="true" applyProtection="false">
      <alignment horizontal="center" vertical="bottom" textRotation="0" wrapText="false" indent="0" shrinkToFit="false"/>
      <protection locked="true" hidden="false"/>
    </xf>
    <xf numFmtId="169" fontId="0" fillId="5" borderId="9" xfId="0" applyFont="false" applyBorder="true" applyAlignment="false" applyProtection="false">
      <alignment horizontal="general" vertical="bottom" textRotation="0" wrapText="false" indent="0" shrinkToFit="false"/>
      <protection locked="true" hidden="false"/>
    </xf>
    <xf numFmtId="16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19" applyFont="true" applyBorder="true" applyAlignment="true" applyProtection="true">
      <alignment horizontal="general" vertical="bottom" textRotation="0" wrapText="false" indent="0" shrinkToFit="false"/>
      <protection locked="true" hidden="false"/>
    </xf>
    <xf numFmtId="186" fontId="0" fillId="0" borderId="0" xfId="0" applyFont="false" applyBorder="false" applyAlignment="false" applyProtection="false">
      <alignment horizontal="general" vertical="bottom" textRotation="0" wrapText="false" indent="0" shrinkToFit="false"/>
      <protection locked="true" hidden="false"/>
    </xf>
    <xf numFmtId="188" fontId="0" fillId="0" borderId="0" xfId="0" applyFont="false" applyBorder="false" applyAlignment="false" applyProtection="false">
      <alignment horizontal="general" vertical="bottom" textRotation="0" wrapText="false" indent="0" shrinkToFit="false"/>
      <protection locked="true" hidden="false"/>
    </xf>
    <xf numFmtId="173" fontId="0" fillId="0" borderId="0" xfId="0" applyFont="false" applyBorder="false" applyAlignment="false" applyProtection="false">
      <alignment horizontal="general" vertical="bottom" textRotation="0" wrapText="false" indent="0" shrinkToFit="false"/>
      <protection locked="true" hidden="false"/>
    </xf>
    <xf numFmtId="164" fontId="36" fillId="0" borderId="0" xfId="0" applyFont="true" applyBorder="true" applyAlignment="true" applyProtection="false">
      <alignment horizontal="left" vertical="bottom" textRotation="0" wrapText="false" indent="0" shrinkToFit="false"/>
      <protection locked="true" hidden="false"/>
    </xf>
    <xf numFmtId="164" fontId="43" fillId="8" borderId="18" xfId="0" applyFont="true" applyBorder="true" applyAlignment="true" applyProtection="false">
      <alignment horizontal="center" vertical="bottom" textRotation="0" wrapText="false" indent="0" shrinkToFit="false"/>
      <protection locked="true" hidden="false"/>
    </xf>
    <xf numFmtId="164" fontId="43" fillId="8" borderId="19" xfId="0" applyFont="true" applyBorder="true" applyAlignment="true" applyProtection="false">
      <alignment horizontal="center" vertical="bottom" textRotation="0" wrapText="false" indent="0" shrinkToFit="false"/>
      <protection locked="true" hidden="false"/>
    </xf>
    <xf numFmtId="173" fontId="43" fillId="8" borderId="9" xfId="0" applyFont="true" applyBorder="true" applyAlignment="false" applyProtection="false">
      <alignment horizontal="general" vertical="bottom" textRotation="0" wrapText="false" indent="0" shrinkToFit="false"/>
      <protection locked="true" hidden="false"/>
    </xf>
    <xf numFmtId="164" fontId="36" fillId="0" borderId="0" xfId="0" applyFont="true" applyBorder="false" applyAlignment="true" applyProtection="false">
      <alignment horizontal="right" vertical="bottom" textRotation="0" wrapText="false" indent="0" shrinkToFit="false"/>
      <protection locked="true" hidden="false"/>
    </xf>
    <xf numFmtId="164" fontId="36" fillId="0" borderId="17" xfId="0" applyFont="true" applyBorder="true" applyAlignment="true" applyProtection="false">
      <alignment horizontal="left" vertical="bottom" textRotation="0" wrapText="false" indent="0" shrinkToFit="false"/>
      <protection locked="true" hidden="false"/>
    </xf>
    <xf numFmtId="164" fontId="43" fillId="15" borderId="18" xfId="0" applyFont="true" applyBorder="true" applyAlignment="true" applyProtection="false">
      <alignment horizontal="center" vertical="bottom" textRotation="0" wrapText="false" indent="0" shrinkToFit="false"/>
      <protection locked="true" hidden="false"/>
    </xf>
    <xf numFmtId="164" fontId="43" fillId="15" borderId="19" xfId="0" applyFont="true" applyBorder="true" applyAlignment="true" applyProtection="false">
      <alignment horizontal="center" vertical="bottom" textRotation="0" wrapText="false" indent="0" shrinkToFit="false"/>
      <protection locked="true" hidden="false"/>
    </xf>
    <xf numFmtId="173" fontId="43" fillId="15" borderId="9" xfId="0" applyFont="true" applyBorder="true" applyAlignment="false" applyProtection="false">
      <alignment horizontal="general" vertical="bottom" textRotation="0" wrapText="false" indent="0" shrinkToFit="false"/>
      <protection locked="true" hidden="false"/>
    </xf>
    <xf numFmtId="164" fontId="5" fillId="5" borderId="20" xfId="0" applyFont="true" applyBorder="true" applyAlignment="true" applyProtection="false">
      <alignment horizontal="center" vertical="bottom" textRotation="0" wrapText="false" indent="0" shrinkToFit="false"/>
      <protection locked="true" hidden="false"/>
    </xf>
    <xf numFmtId="164" fontId="5" fillId="5" borderId="19" xfId="0" applyFont="true" applyBorder="true" applyAlignment="true" applyProtection="false">
      <alignment horizontal="center" vertical="bottom" textRotation="0" wrapText="false" indent="0" shrinkToFit="false"/>
      <protection locked="true" hidden="false"/>
    </xf>
    <xf numFmtId="173" fontId="0" fillId="5" borderId="9" xfId="0" applyFont="false" applyBorder="true" applyAlignment="false" applyProtection="false">
      <alignment horizontal="general" vertical="bottom" textRotation="0" wrapText="false" indent="0" shrinkToFit="false"/>
      <protection locked="true" hidden="false"/>
    </xf>
    <xf numFmtId="164" fontId="5" fillId="5" borderId="21" xfId="0" applyFont="true" applyBorder="true" applyAlignment="true" applyProtection="false">
      <alignment horizontal="center" vertical="bottom" textRotation="0" wrapText="false" indent="0" shrinkToFit="false"/>
      <protection locked="true" hidden="false"/>
    </xf>
    <xf numFmtId="164" fontId="5" fillId="5" borderId="16"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73" fontId="43" fillId="15" borderId="19" xfId="0" applyFont="true" applyBorder="true" applyAlignment="false" applyProtection="false">
      <alignment horizontal="general" vertical="bottom" textRotation="0" wrapText="false" indent="0" shrinkToFit="false"/>
      <protection locked="true" hidden="false"/>
    </xf>
    <xf numFmtId="165" fontId="0" fillId="0" borderId="0" xfId="17" applyFont="true" applyBorder="true" applyAlignment="true" applyProtection="true">
      <alignment horizontal="general" vertical="bottom" textRotation="0" wrapText="false" indent="0" shrinkToFit="false"/>
      <protection locked="true" hidden="false"/>
    </xf>
    <xf numFmtId="187" fontId="0" fillId="0" borderId="0" xfId="0" applyFont="false" applyBorder="false" applyAlignment="false" applyProtection="false">
      <alignment horizontal="general" vertical="bottom" textRotation="0" wrapText="false" indent="0" shrinkToFit="false"/>
      <protection locked="true" hidden="false"/>
    </xf>
    <xf numFmtId="168" fontId="0" fillId="0" borderId="0" xfId="15" applyFont="true" applyBorder="true" applyAlignment="true" applyProtection="true">
      <alignment horizontal="general" vertical="bottom" textRotation="0" wrapText="false" indent="0" shrinkToFit="false"/>
      <protection locked="true" hidden="false"/>
    </xf>
    <xf numFmtId="164" fontId="43" fillId="15" borderId="8" xfId="0" applyFont="true" applyBorder="true" applyAlignment="true" applyProtection="false">
      <alignment horizontal="center" vertical="bottom" textRotation="0" wrapText="false" indent="0" shrinkToFit="false"/>
      <protection locked="true" hidden="false"/>
    </xf>
    <xf numFmtId="164" fontId="36" fillId="0" borderId="0" xfId="0" applyFont="true" applyBorder="false" applyAlignment="true" applyProtection="false">
      <alignment horizontal="right" vertical="center" textRotation="0" wrapText="false" indent="0" shrinkToFit="false"/>
      <protection locked="true" hidden="false"/>
    </xf>
    <xf numFmtId="164" fontId="36" fillId="0" borderId="0" xfId="0" applyFont="true" applyBorder="fals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89" fontId="43" fillId="8" borderId="9" xfId="0" applyFont="true" applyBorder="true" applyAlignment="false" applyProtection="false">
      <alignment horizontal="general" vertical="bottom" textRotation="0" wrapText="false" indent="0" shrinkToFit="false"/>
      <protection locked="true" hidden="false"/>
    </xf>
    <xf numFmtId="190" fontId="0" fillId="0" borderId="0" xfId="0" applyFont="false" applyBorder="false" applyAlignment="false" applyProtection="false">
      <alignment horizontal="general" vertical="bottom" textRotation="0" wrapText="false" indent="0" shrinkToFit="false"/>
      <protection locked="true" hidden="false"/>
    </xf>
    <xf numFmtId="174" fontId="43" fillId="15" borderId="9" xfId="0" applyFont="true" applyBorder="tru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right" vertical="bottom" textRotation="0" wrapText="false" indent="0" shrinkToFit="false"/>
      <protection locked="true" hidden="false"/>
    </xf>
    <xf numFmtId="187" fontId="43" fillId="15" borderId="9" xfId="19" applyFont="true" applyBorder="true" applyAlignment="true" applyProtection="true">
      <alignment horizontal="general" vertical="bottom"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24" fillId="2" borderId="1" xfId="0" applyFont="true" applyBorder="true" applyAlignment="true" applyProtection="false">
      <alignment horizontal="center" vertical="bottom" textRotation="0" wrapText="false" indent="0" shrinkToFit="false"/>
      <protection locked="true" hidden="false"/>
    </xf>
    <xf numFmtId="191" fontId="44" fillId="2" borderId="0"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24" fillId="2" borderId="8" xfId="0" applyFont="true" applyBorder="true" applyAlignment="true" applyProtection="false">
      <alignment horizontal="center" vertical="bottom" textRotation="0" wrapText="false" indent="0" shrinkToFit="false"/>
      <protection locked="true" hidden="false"/>
    </xf>
    <xf numFmtId="164" fontId="22" fillId="0" borderId="1" xfId="0" applyFont="true" applyBorder="true" applyAlignment="true" applyProtection="false">
      <alignment horizontal="center" vertical="bottom" textRotation="0" wrapText="false" indent="0" shrinkToFit="false"/>
      <protection locked="true" hidden="false"/>
    </xf>
    <xf numFmtId="164" fontId="22" fillId="0" borderId="8" xfId="0" applyFont="true" applyBorder="true" applyAlignment="true" applyProtection="false">
      <alignment horizontal="center" vertical="bottom" textRotation="0" wrapText="false" indent="0" shrinkToFit="false"/>
      <protection locked="true" hidden="false"/>
    </xf>
    <xf numFmtId="164" fontId="24" fillId="16" borderId="18" xfId="0" applyFont="true" applyBorder="true" applyAlignment="false" applyProtection="false">
      <alignment horizontal="general" vertical="bottom" textRotation="0" wrapText="false" indent="0" shrinkToFit="false"/>
      <protection locked="true" hidden="false"/>
    </xf>
    <xf numFmtId="164" fontId="22" fillId="16" borderId="22" xfId="0" applyFont="true" applyBorder="true" applyAlignment="false" applyProtection="false">
      <alignment horizontal="general" vertical="bottom" textRotation="0" wrapText="false" indent="0" shrinkToFit="false"/>
      <protection locked="true" hidden="false"/>
    </xf>
    <xf numFmtId="191" fontId="44" fillId="2" borderId="21" xfId="19" applyFont="true" applyBorder="true" applyAlignment="true" applyProtection="true">
      <alignment horizontal="general" vertical="bottom" textRotation="0" wrapText="false" indent="0" shrinkToFit="false"/>
      <protection locked="true" hidden="false"/>
    </xf>
    <xf numFmtId="164" fontId="22" fillId="16" borderId="13" xfId="0" applyFont="true" applyBorder="true" applyAlignment="true" applyProtection="false">
      <alignment horizontal="left" vertical="bottom" textRotation="0" wrapText="false" indent="0" shrinkToFit="false"/>
      <protection locked="true" hidden="false"/>
    </xf>
    <xf numFmtId="165" fontId="22" fillId="16" borderId="0" xfId="17" applyFont="true" applyBorder="true" applyAlignment="true" applyProtection="true">
      <alignment horizontal="general" vertical="bottom" textRotation="0" wrapText="false" indent="0" shrinkToFit="false"/>
      <protection locked="true" hidden="false"/>
    </xf>
    <xf numFmtId="187" fontId="22" fillId="16" borderId="0" xfId="19" applyFont="true" applyBorder="true" applyAlignment="true" applyProtection="true">
      <alignment horizontal="general" vertical="bottom" textRotation="0" wrapText="false" indent="0" shrinkToFit="false"/>
      <protection locked="true" hidden="false"/>
    </xf>
    <xf numFmtId="191" fontId="44" fillId="17" borderId="21" xfId="19" applyFont="true" applyBorder="true" applyAlignment="true" applyProtection="true">
      <alignment horizontal="general" vertical="bottom" textRotation="0" wrapText="false" indent="0" shrinkToFit="false"/>
      <protection locked="true" hidden="false"/>
    </xf>
    <xf numFmtId="164" fontId="22" fillId="16" borderId="15" xfId="0" applyFont="true" applyBorder="true" applyAlignment="true" applyProtection="false">
      <alignment horizontal="left" vertical="bottom" textRotation="0" wrapText="false" indent="0" shrinkToFit="false"/>
      <protection locked="true" hidden="false"/>
    </xf>
    <xf numFmtId="165" fontId="22" fillId="16" borderId="23" xfId="17" applyFont="true" applyBorder="true" applyAlignment="true" applyProtection="true">
      <alignment horizontal="general" vertical="bottom" textRotation="0" wrapText="false" indent="0" shrinkToFit="false"/>
      <protection locked="true" hidden="false"/>
    </xf>
    <xf numFmtId="187" fontId="22" fillId="16" borderId="23" xfId="19" applyFont="true" applyBorder="true" applyAlignment="true" applyProtection="true">
      <alignment horizontal="general" vertical="bottom" textRotation="0" wrapText="false" indent="0" shrinkToFit="false"/>
      <protection locked="true" hidden="false"/>
    </xf>
    <xf numFmtId="164" fontId="24" fillId="16" borderId="1" xfId="0" applyFont="true" applyBorder="true" applyAlignment="true" applyProtection="false">
      <alignment horizontal="right" vertical="bottom" textRotation="0" wrapText="false" indent="0" shrinkToFit="false"/>
      <protection locked="true" hidden="false"/>
    </xf>
    <xf numFmtId="165" fontId="22" fillId="16" borderId="1" xfId="17" applyFont="true" applyBorder="true" applyAlignment="true" applyProtection="true">
      <alignment horizontal="general" vertical="bottom" textRotation="0" wrapText="false" indent="0" shrinkToFit="false"/>
      <protection locked="true" hidden="false"/>
    </xf>
    <xf numFmtId="167" fontId="22" fillId="16" borderId="8" xfId="19" applyFont="true" applyBorder="true" applyAlignment="true" applyProtection="true">
      <alignment horizontal="general" vertical="bottom" textRotation="0" wrapText="false" indent="0" shrinkToFit="false"/>
      <protection locked="true" hidden="false"/>
    </xf>
    <xf numFmtId="191"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8" xfId="0" applyFont="true" applyBorder="true" applyAlignment="false" applyProtection="false">
      <alignment horizontal="general" vertical="bottom" textRotation="0" wrapText="false" indent="0" shrinkToFit="false"/>
      <protection locked="true" hidden="false"/>
    </xf>
    <xf numFmtId="164" fontId="22" fillId="18" borderId="22" xfId="0" applyFont="true" applyBorder="true" applyAlignment="false" applyProtection="false">
      <alignment horizontal="general" vertical="bottom" textRotation="0" wrapText="false" indent="0" shrinkToFit="false"/>
      <protection locked="true" hidden="false"/>
    </xf>
    <xf numFmtId="164" fontId="24" fillId="18" borderId="13" xfId="0" applyFont="true" applyBorder="true" applyAlignment="false" applyProtection="false">
      <alignment horizontal="general" vertical="bottom" textRotation="0" wrapText="false" indent="0" shrinkToFit="false"/>
      <protection locked="true" hidden="false"/>
    </xf>
    <xf numFmtId="164" fontId="22" fillId="18" borderId="0" xfId="0" applyFont="true" applyBorder="false" applyAlignment="false" applyProtection="false">
      <alignment horizontal="general" vertical="bottom" textRotation="0" wrapText="false" indent="0" shrinkToFit="false"/>
      <protection locked="true" hidden="false"/>
    </xf>
    <xf numFmtId="164" fontId="22" fillId="18" borderId="13" xfId="0" applyFont="true" applyBorder="true" applyAlignment="true" applyProtection="false">
      <alignment horizontal="left" vertical="bottom" textRotation="0" wrapText="false" indent="0" shrinkToFit="false"/>
      <protection locked="true" hidden="false"/>
    </xf>
    <xf numFmtId="165" fontId="22" fillId="18" borderId="0" xfId="17" applyFont="true" applyBorder="true" applyAlignment="true" applyProtection="true">
      <alignment horizontal="general" vertical="bottom" textRotation="0" wrapText="false" indent="0" shrinkToFit="false"/>
      <protection locked="true" hidden="false"/>
    </xf>
    <xf numFmtId="187" fontId="22" fillId="18" borderId="0" xfId="19" applyFont="true" applyBorder="true" applyAlignment="true" applyProtection="true">
      <alignment horizontal="general" vertical="bottom" textRotation="0" wrapText="false" indent="0" shrinkToFit="false"/>
      <protection locked="true" hidden="false"/>
    </xf>
    <xf numFmtId="164" fontId="24" fillId="18" borderId="13" xfId="0" applyFont="true" applyBorder="true" applyAlignment="true" applyProtection="false">
      <alignment horizontal="right" vertical="bottom" textRotation="0" wrapText="false" indent="0" shrinkToFit="false"/>
      <protection locked="true" hidden="false"/>
    </xf>
    <xf numFmtId="165" fontId="24" fillId="18" borderId="0" xfId="17" applyFont="true" applyBorder="true" applyAlignment="true" applyProtection="true">
      <alignment horizontal="right" vertical="bottom" textRotation="0" wrapText="false" indent="0" shrinkToFit="false"/>
      <protection locked="true" hidden="false"/>
    </xf>
    <xf numFmtId="187" fontId="24" fillId="18" borderId="0" xfId="19" applyFont="true" applyBorder="true" applyAlignment="true" applyProtection="true">
      <alignment horizontal="right" vertical="bottom" textRotation="0" wrapText="false" indent="0" shrinkToFit="false"/>
      <protection locked="true" hidden="false"/>
    </xf>
    <xf numFmtId="192" fontId="22" fillId="18" borderId="0" xfId="17" applyFont="true" applyBorder="true" applyAlignment="true" applyProtection="true">
      <alignment horizontal="general" vertical="bottom" textRotation="0" wrapText="false" indent="0" shrinkToFit="false"/>
      <protection locked="true" hidden="false"/>
    </xf>
    <xf numFmtId="165" fontId="24" fillId="18" borderId="0" xfId="17" applyFont="true" applyBorder="true" applyAlignment="true" applyProtection="true">
      <alignment horizontal="center" vertical="bottom" textRotation="0" wrapText="false" indent="0" shrinkToFit="false"/>
      <protection locked="true" hidden="false"/>
    </xf>
    <xf numFmtId="187" fontId="24" fillId="18" borderId="0" xfId="19" applyFont="true" applyBorder="true" applyAlignment="true" applyProtection="true">
      <alignment horizontal="center" vertical="bottom" textRotation="0" wrapText="false" indent="0" shrinkToFit="false"/>
      <protection locked="true" hidden="false"/>
    </xf>
    <xf numFmtId="164" fontId="22" fillId="18" borderId="0" xfId="0" applyFont="true" applyBorder="false" applyAlignment="true" applyProtection="false">
      <alignment horizontal="left" vertical="bottom" textRotation="0" wrapText="false" indent="0" shrinkToFit="false"/>
      <protection locked="true" hidden="false"/>
    </xf>
    <xf numFmtId="165" fontId="24" fillId="18" borderId="0" xfId="17" applyFont="true" applyBorder="true" applyAlignment="true" applyProtection="true">
      <alignment horizontal="general" vertical="bottom" textRotation="0" wrapText="false" indent="0" shrinkToFit="false"/>
      <protection locked="true" hidden="false"/>
    </xf>
    <xf numFmtId="187" fontId="24" fillId="18" borderId="0" xfId="19" applyFont="true" applyBorder="true" applyAlignment="true" applyProtection="true">
      <alignment horizontal="general" vertical="bottom" textRotation="0" wrapText="false" indent="0" shrinkToFit="false"/>
      <protection locked="true" hidden="false"/>
    </xf>
    <xf numFmtId="190" fontId="0" fillId="2" borderId="0" xfId="0" applyFont="false" applyBorder="false" applyAlignment="false" applyProtection="false">
      <alignment horizontal="general" vertical="bottom" textRotation="0" wrapText="false" indent="0" shrinkToFit="false"/>
      <protection locked="true" hidden="false"/>
    </xf>
    <xf numFmtId="164" fontId="24" fillId="18" borderId="13" xfId="0" applyFont="true" applyBorder="true" applyAlignment="true" applyProtection="false">
      <alignment horizontal="left" vertical="bottom" textRotation="0" wrapText="false" indent="0" shrinkToFit="false"/>
      <protection locked="true" hidden="false"/>
    </xf>
    <xf numFmtId="164" fontId="24" fillId="18" borderId="0" xfId="0" applyFont="true" applyBorder="false" applyAlignment="true" applyProtection="false">
      <alignment horizontal="right" vertical="bottom" textRotation="0" wrapText="false" indent="0" shrinkToFit="false"/>
      <protection locked="true" hidden="false"/>
    </xf>
    <xf numFmtId="165" fontId="24" fillId="18" borderId="0" xfId="21" applyFont="true" applyBorder="true" applyAlignment="true" applyProtection="true">
      <alignment horizontal="center" vertical="bottom" textRotation="0" wrapText="false" indent="0" shrinkToFit="false"/>
      <protection locked="true" hidden="false"/>
    </xf>
    <xf numFmtId="165" fontId="22" fillId="18" borderId="0" xfId="17" applyFont="true" applyBorder="true" applyAlignment="true" applyProtection="true">
      <alignment horizontal="center" vertical="bottom" textRotation="0" wrapText="false" indent="0" shrinkToFit="false"/>
      <protection locked="true" hidden="false"/>
    </xf>
    <xf numFmtId="187" fontId="22" fillId="18" borderId="0" xfId="19" applyFont="true" applyBorder="true" applyAlignment="true" applyProtection="true">
      <alignment horizontal="right" vertical="bottom" textRotation="0" wrapText="false" indent="0" shrinkToFit="false"/>
      <protection locked="true" hidden="false"/>
    </xf>
    <xf numFmtId="164" fontId="22" fillId="18" borderId="13" xfId="0" applyFont="true" applyBorder="true" applyAlignment="true" applyProtection="false">
      <alignment horizontal="left" vertical="center" textRotation="0" wrapText="false" indent="0" shrinkToFit="false"/>
      <protection locked="true" hidden="false"/>
    </xf>
    <xf numFmtId="164" fontId="24" fillId="18" borderId="15" xfId="0" applyFont="true" applyBorder="true" applyAlignment="true" applyProtection="false">
      <alignment horizontal="right" vertical="bottom" textRotation="0" wrapText="false" indent="0" shrinkToFit="false"/>
      <protection locked="true" hidden="false"/>
    </xf>
    <xf numFmtId="165" fontId="24" fillId="18" borderId="23" xfId="17" applyFont="true" applyBorder="true" applyAlignment="true" applyProtection="true">
      <alignment horizontal="center" vertical="bottom" textRotation="0" wrapText="false" indent="0" shrinkToFit="false"/>
      <protection locked="true" hidden="false"/>
    </xf>
    <xf numFmtId="187" fontId="24" fillId="18" borderId="23" xfId="19" applyFont="true" applyBorder="true" applyAlignment="true" applyProtection="true">
      <alignment horizontal="right" vertical="bottom" textRotation="0" wrapText="false" indent="0" shrinkToFit="false"/>
      <protection locked="true" hidden="false"/>
    </xf>
    <xf numFmtId="164" fontId="24" fillId="18" borderId="8" xfId="0" applyFont="true" applyBorder="true" applyAlignment="true" applyProtection="false">
      <alignment horizontal="right" vertical="bottom" textRotation="0" wrapText="false" indent="0" shrinkToFit="false"/>
      <protection locked="true" hidden="false"/>
    </xf>
    <xf numFmtId="165" fontId="22" fillId="0" borderId="1" xfId="17" applyFont="true" applyBorder="true" applyAlignment="true" applyProtection="true">
      <alignment horizontal="general" vertical="bottom" textRotation="0" wrapText="false" indent="0" shrinkToFit="false"/>
      <protection locked="true" hidden="false"/>
    </xf>
    <xf numFmtId="190" fontId="22" fillId="0" borderId="1" xfId="17" applyFont="true" applyBorder="true" applyAlignment="true" applyProtection="true">
      <alignment horizontal="general" vertical="bottom" textRotation="0" wrapText="false" indent="0" shrinkToFit="false"/>
      <protection locked="true" hidden="false"/>
    </xf>
    <xf numFmtId="167" fontId="22" fillId="0" borderId="8" xfId="19"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true" applyProtection="false">
      <alignment horizontal="right" vertical="bottom" textRotation="0" wrapText="false" indent="0" shrinkToFit="false"/>
      <protection locked="true" hidden="false"/>
    </xf>
    <xf numFmtId="164" fontId="24" fillId="19" borderId="8" xfId="0" applyFont="true" applyBorder="true" applyAlignment="true" applyProtection="false">
      <alignment horizontal="right" vertical="bottom" textRotation="0" wrapText="false" indent="0" shrinkToFit="false"/>
      <protection locked="true" hidden="false"/>
    </xf>
    <xf numFmtId="164" fontId="24" fillId="20" borderId="8" xfId="0" applyFont="true" applyBorder="true" applyAlignment="true" applyProtection="false">
      <alignment horizontal="right" vertical="bottom" textRotation="0" wrapText="false" indent="0" shrinkToFit="false"/>
      <protection locked="true" hidden="false"/>
    </xf>
    <xf numFmtId="165" fontId="22" fillId="20" borderId="1" xfId="17" applyFont="true" applyBorder="true" applyAlignment="true" applyProtection="true">
      <alignment horizontal="center" vertical="bottom" textRotation="0" wrapText="false" indent="0" shrinkToFit="false"/>
      <protection locked="true" hidden="false"/>
    </xf>
    <xf numFmtId="193" fontId="0" fillId="2"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24" fillId="20" borderId="18" xfId="0" applyFont="true" applyBorder="true" applyAlignment="true" applyProtection="false">
      <alignment horizontal="center" vertical="bottom" textRotation="0" wrapText="false" indent="0" shrinkToFit="false"/>
      <protection locked="true" hidden="false"/>
    </xf>
    <xf numFmtId="164" fontId="22" fillId="20" borderId="18" xfId="0" applyFont="true" applyBorder="true" applyAlignment="true" applyProtection="false">
      <alignment horizontal="left" vertical="bottom" textRotation="0" wrapText="false" indent="0" shrinkToFit="false"/>
      <protection locked="true" hidden="false"/>
    </xf>
    <xf numFmtId="194" fontId="22" fillId="20" borderId="0" xfId="0" applyFont="true" applyBorder="false" applyAlignment="false" applyProtection="false">
      <alignment horizontal="general" vertical="bottom" textRotation="0" wrapText="false" indent="0" shrinkToFit="false"/>
      <protection locked="true" hidden="false"/>
    </xf>
    <xf numFmtId="164" fontId="22" fillId="20" borderId="13" xfId="0" applyFont="true" applyBorder="true" applyAlignment="true" applyProtection="false">
      <alignment horizontal="left" vertical="bottom" textRotation="0" wrapText="false" indent="0" shrinkToFit="false"/>
      <protection locked="true" hidden="false"/>
    </xf>
    <xf numFmtId="195" fontId="22" fillId="20" borderId="0" xfId="0" applyFont="true" applyBorder="false" applyAlignment="false" applyProtection="false">
      <alignment horizontal="general" vertical="bottom" textRotation="0" wrapText="false" indent="0" shrinkToFit="false"/>
      <protection locked="true" hidden="false"/>
    </xf>
    <xf numFmtId="164" fontId="22" fillId="20" borderId="15" xfId="0" applyFont="true" applyBorder="true" applyAlignment="true" applyProtection="false">
      <alignment horizontal="left" vertical="bottom" textRotation="0" wrapText="false" indent="0" shrinkToFit="false"/>
      <protection locked="true" hidden="false"/>
    </xf>
    <xf numFmtId="164" fontId="24" fillId="20" borderId="1" xfId="0" applyFont="true" applyBorder="true" applyAlignment="true" applyProtection="false">
      <alignment horizontal="center" vertical="bottom" textRotation="0" wrapText="false" indent="0" shrinkToFit="false"/>
      <protection locked="true" hidden="false"/>
    </xf>
    <xf numFmtId="194" fontId="22" fillId="2" borderId="1" xfId="0" applyFont="true" applyBorder="true" applyAlignment="false" applyProtection="false">
      <alignment horizontal="general" vertical="bottom" textRotation="0" wrapText="false" indent="0" shrinkToFit="false"/>
      <protection locked="true" hidden="false"/>
    </xf>
    <xf numFmtId="164" fontId="24" fillId="19" borderId="1" xfId="0" applyFont="true" applyBorder="true" applyAlignment="true" applyProtection="false">
      <alignment horizontal="right" vertical="bottom" textRotation="0" wrapText="false" indent="0" shrinkToFit="false"/>
      <protection locked="true" hidden="false"/>
    </xf>
    <xf numFmtId="164" fontId="25" fillId="17" borderId="1" xfId="0" applyFont="true" applyBorder="true" applyAlignment="true" applyProtection="false">
      <alignment horizontal="right" vertical="bottom" textRotation="0" wrapText="false" indent="0" shrinkToFit="false"/>
      <protection locked="true" hidden="false"/>
    </xf>
    <xf numFmtId="165" fontId="46" fillId="17" borderId="1" xfId="17" applyFont="true" applyBorder="true" applyAlignment="true" applyProtection="true">
      <alignment horizontal="general" vertical="bottom" textRotation="0" wrapText="false" indent="0" shrinkToFit="false"/>
      <protection locked="true" hidden="false"/>
    </xf>
    <xf numFmtId="164" fontId="48" fillId="0" borderId="12" xfId="0" applyFont="true" applyBorder="true" applyAlignment="true" applyProtection="false">
      <alignment horizontal="center" vertical="center" textRotation="0" wrapText="true" indent="0" shrinkToFit="false"/>
      <protection locked="true" hidden="false"/>
    </xf>
    <xf numFmtId="164" fontId="49" fillId="21" borderId="12" xfId="0" applyFont="true" applyBorder="true" applyAlignment="true" applyProtection="false">
      <alignment horizontal="center" vertical="center" textRotation="0" wrapText="true" indent="0" shrinkToFit="false"/>
      <protection locked="true" hidden="false"/>
    </xf>
    <xf numFmtId="164" fontId="52" fillId="21" borderId="24" xfId="0" applyFont="true" applyBorder="true" applyAlignment="true" applyProtection="false">
      <alignment horizontal="center" vertical="center" textRotation="0" wrapText="true" indent="0" shrinkToFit="false"/>
      <protection locked="true" hidden="false"/>
    </xf>
    <xf numFmtId="164" fontId="52" fillId="21" borderId="12" xfId="0" applyFont="true" applyBorder="true" applyAlignment="true" applyProtection="false">
      <alignment horizontal="center" vertical="center" textRotation="0" wrapText="true" indent="0" shrinkToFit="false"/>
      <protection locked="true" hidden="false"/>
    </xf>
    <xf numFmtId="164" fontId="6" fillId="11" borderId="12" xfId="0" applyFont="true" applyBorder="true" applyAlignment="true" applyProtection="false">
      <alignment horizontal="center" vertical="center" textRotation="0" wrapText="true" indent="0" shrinkToFit="false"/>
      <protection locked="true" hidden="false"/>
    </xf>
    <xf numFmtId="164" fontId="46" fillId="21" borderId="24" xfId="0" applyFont="true" applyBorder="true" applyAlignment="true" applyProtection="false">
      <alignment horizontal="general" vertical="top" textRotation="0" wrapText="true" indent="0" shrinkToFit="false"/>
      <protection locked="true" hidden="false"/>
    </xf>
    <xf numFmtId="164" fontId="46" fillId="21" borderId="25" xfId="0" applyFont="true" applyBorder="true" applyAlignment="true" applyProtection="false">
      <alignment horizontal="general" vertical="top" textRotation="0" wrapText="true" indent="0" shrinkToFit="false"/>
      <protection locked="true" hidden="false"/>
    </xf>
    <xf numFmtId="164" fontId="53" fillId="0" borderId="0" xfId="0" applyFont="true" applyBorder="false" applyAlignment="false" applyProtection="false">
      <alignment horizontal="general" vertical="bottom" textRotation="0" wrapText="false" indent="0" shrinkToFit="false"/>
      <protection locked="true" hidden="false"/>
    </xf>
    <xf numFmtId="164" fontId="54" fillId="21" borderId="0" xfId="0" applyFont="true" applyBorder="true" applyAlignment="true" applyProtection="false">
      <alignment horizontal="center" vertical="center" textRotation="0" wrapText="true" indent="0" shrinkToFit="false"/>
      <protection locked="true" hidden="false"/>
    </xf>
    <xf numFmtId="164" fontId="55" fillId="21" borderId="8" xfId="0" applyFont="true" applyBorder="true" applyAlignment="true" applyProtection="false">
      <alignment horizontal="right" vertical="center" textRotation="0" wrapText="true" indent="0" shrinkToFit="false"/>
      <protection locked="true" hidden="false"/>
    </xf>
    <xf numFmtId="164" fontId="52" fillId="21" borderId="9" xfId="0" applyFont="true" applyBorder="true" applyAlignment="true" applyProtection="false">
      <alignment horizontal="left" vertical="center" textRotation="0" wrapText="true" indent="0" shrinkToFit="false"/>
      <protection locked="true" hidden="false"/>
    </xf>
    <xf numFmtId="164" fontId="6" fillId="11" borderId="16" xfId="0" applyFont="true" applyBorder="true" applyAlignment="true" applyProtection="false">
      <alignment horizontal="center" vertical="center" textRotation="0" wrapText="true" indent="0" shrinkToFit="false"/>
      <protection locked="true" hidden="false"/>
    </xf>
    <xf numFmtId="164" fontId="52" fillId="21" borderId="17" xfId="0" applyFont="true" applyBorder="true" applyAlignment="true" applyProtection="false">
      <alignment horizontal="center" vertical="center" textRotation="0" wrapText="true" indent="0" shrinkToFit="false"/>
      <protection locked="true" hidden="false"/>
    </xf>
    <xf numFmtId="164" fontId="54" fillId="21" borderId="1" xfId="0" applyFont="true" applyBorder="true" applyAlignment="true" applyProtection="false">
      <alignment horizontal="center" vertical="center" textRotation="0" wrapText="true" indent="0" shrinkToFit="false"/>
      <protection locked="true" hidden="false"/>
    </xf>
    <xf numFmtId="164" fontId="6" fillId="11" borderId="1" xfId="0" applyFont="true" applyBorder="true" applyAlignment="true" applyProtection="false">
      <alignment horizontal="center" vertical="center" textRotation="0" wrapText="true" indent="0" shrinkToFit="false"/>
      <protection locked="true" hidden="false"/>
    </xf>
    <xf numFmtId="164" fontId="28" fillId="11" borderId="1" xfId="34" applyFont="true" applyBorder="true" applyAlignment="true" applyProtection="false">
      <alignment horizontal="center" vertical="bottom" textRotation="0" wrapText="false" indent="0" shrinkToFit="false"/>
      <protection locked="true" hidden="false"/>
    </xf>
    <xf numFmtId="175" fontId="4" fillId="4" borderId="1" xfId="72" applyFont="true" applyBorder="true" applyAlignment="true" applyProtection="true">
      <alignment horizontal="center" vertical="center" textRotation="0" wrapText="false" indent="0" shrinkToFit="false"/>
      <protection locked="true" hidden="false"/>
    </xf>
    <xf numFmtId="164" fontId="18" fillId="21" borderId="1" xfId="34" applyFont="true" applyBorder="true" applyAlignment="true" applyProtection="false">
      <alignment horizontal="center" vertical="center" textRotation="0" wrapText="false" indent="0" shrinkToFit="false"/>
      <protection locked="true" hidden="false"/>
    </xf>
    <xf numFmtId="164" fontId="28" fillId="11" borderId="1" xfId="34" applyFont="true" applyBorder="true" applyAlignment="true" applyProtection="false">
      <alignment horizontal="left" vertical="bottom" textRotation="0" wrapText="false" indent="0" shrinkToFit="false"/>
      <protection locked="true" hidden="false"/>
    </xf>
    <xf numFmtId="164" fontId="20" fillId="0" borderId="13" xfId="0" applyFont="true" applyBorder="true" applyAlignment="true" applyProtection="false">
      <alignment horizontal="left" vertical="center" textRotation="90" wrapText="false" indent="0" shrinkToFit="false"/>
      <protection locked="true" hidden="false"/>
    </xf>
    <xf numFmtId="164" fontId="18" fillId="21" borderId="1" xfId="34" applyFont="true" applyBorder="true" applyAlignment="true" applyProtection="false">
      <alignment horizontal="center" vertical="center" textRotation="0" wrapText="true" indent="0" shrinkToFit="false"/>
      <protection locked="true" hidden="false"/>
    </xf>
    <xf numFmtId="175" fontId="4" fillId="4" borderId="1" xfId="72" applyFont="true" applyBorder="true" applyAlignment="true" applyProtection="true">
      <alignment horizontal="center" vertical="center" textRotation="0" wrapText="true" indent="0" shrinkToFit="false"/>
      <protection locked="true" hidden="false"/>
    </xf>
    <xf numFmtId="164" fontId="20" fillId="0" borderId="0" xfId="0" applyFont="true" applyBorder="true" applyAlignment="true" applyProtection="false">
      <alignment horizontal="left" vertical="center" textRotation="90" wrapText="false" indent="0" shrinkToFit="false"/>
      <protection locked="true" hidden="false"/>
    </xf>
    <xf numFmtId="177" fontId="4" fillId="4" borderId="1" xfId="72" applyFont="true" applyBorder="true" applyAlignment="true" applyProtection="true">
      <alignment horizontal="center" vertical="center" textRotation="0" wrapText="false" indent="0" shrinkToFit="false"/>
      <protection locked="true" hidden="false"/>
    </xf>
    <xf numFmtId="164" fontId="18" fillId="8" borderId="8" xfId="34" applyFont="true" applyBorder="true" applyAlignment="true" applyProtection="false">
      <alignment horizontal="center" vertical="center" textRotation="0" wrapText="true" indent="0" shrinkToFit="false"/>
      <protection locked="true" hidden="false"/>
    </xf>
    <xf numFmtId="164" fontId="18" fillId="8" borderId="1" xfId="34" applyFont="true" applyBorder="true" applyAlignment="true" applyProtection="false">
      <alignment horizontal="center" vertical="center" textRotation="0" wrapText="true" indent="0" shrinkToFit="false"/>
      <protection locked="true" hidden="false"/>
    </xf>
    <xf numFmtId="175" fontId="28" fillId="7" borderId="8" xfId="34" applyFont="true" applyBorder="true" applyAlignment="true" applyProtection="false">
      <alignment horizontal="center" vertical="bottom" textRotation="0" wrapText="false" indent="0" shrinkToFit="false"/>
      <protection locked="true" hidden="false"/>
    </xf>
    <xf numFmtId="177" fontId="4" fillId="5" borderId="1" xfId="72" applyFont="true" applyBorder="true" applyAlignment="true" applyProtection="true">
      <alignment horizontal="right" vertical="center" textRotation="0" wrapText="false" indent="0" shrinkToFit="false"/>
      <protection locked="true" hidden="false"/>
    </xf>
    <xf numFmtId="174" fontId="28" fillId="7" borderId="8" xfId="34" applyFont="true" applyBorder="true" applyAlignment="true" applyProtection="false">
      <alignment horizontal="center" vertical="bottom" textRotation="0" wrapText="false" indent="0" shrinkToFit="false"/>
      <protection locked="true" hidden="false"/>
    </xf>
    <xf numFmtId="164" fontId="52" fillId="21" borderId="8" xfId="0" applyFont="true" applyBorder="true" applyAlignment="true" applyProtection="false">
      <alignment horizontal="general" vertical="center" textRotation="0" wrapText="true" indent="0" shrinkToFit="false"/>
      <protection locked="true" hidden="false"/>
    </xf>
    <xf numFmtId="164" fontId="52" fillId="21" borderId="19" xfId="0" applyFont="true" applyBorder="true" applyAlignment="true" applyProtection="false">
      <alignment horizontal="general" vertical="center" textRotation="0" wrapText="true" indent="0" shrinkToFit="false"/>
      <protection locked="true" hidden="false"/>
    </xf>
    <xf numFmtId="164" fontId="52" fillId="21" borderId="9" xfId="0" applyFont="true" applyBorder="true" applyAlignment="true" applyProtection="false">
      <alignment horizontal="general" vertical="center" textRotation="0" wrapText="true" indent="0" shrinkToFit="false"/>
      <protection locked="true" hidden="false"/>
    </xf>
    <xf numFmtId="164" fontId="54" fillId="21" borderId="20" xfId="36" applyFont="true" applyBorder="true" applyAlignment="true" applyProtection="false">
      <alignment horizontal="general" vertical="center" textRotation="0" wrapText="true" indent="0" shrinkToFit="false"/>
      <protection locked="true" hidden="false"/>
    </xf>
    <xf numFmtId="164" fontId="13" fillId="5" borderId="26" xfId="0" applyFont="true" applyBorder="true" applyAlignment="true" applyProtection="false">
      <alignment horizontal="center" vertical="center" textRotation="0" wrapText="false" indent="0" shrinkToFit="false"/>
      <protection locked="true" hidden="false"/>
    </xf>
    <xf numFmtId="164" fontId="13" fillId="5" borderId="27" xfId="0" applyFont="true" applyBorder="true" applyAlignment="true" applyProtection="false">
      <alignment horizontal="center" vertical="center" textRotation="0" wrapText="false" indent="0" shrinkToFit="false"/>
      <protection locked="true" hidden="false"/>
    </xf>
    <xf numFmtId="164" fontId="54" fillId="21" borderId="16" xfId="36" applyFont="true" applyBorder="true" applyAlignment="true" applyProtection="false">
      <alignment horizontal="general" vertical="center" textRotation="0" wrapText="true" indent="0" shrinkToFit="false"/>
      <protection locked="true" hidden="false"/>
    </xf>
    <xf numFmtId="164" fontId="7" fillId="0" borderId="8" xfId="0" applyFont="true" applyBorder="true" applyAlignment="false" applyProtection="false">
      <alignment horizontal="general" vertical="bottom" textRotation="0" wrapText="false" indent="0" shrinkToFit="false"/>
      <protection locked="true" hidden="false"/>
    </xf>
    <xf numFmtId="164" fontId="7" fillId="0" borderId="19" xfId="0" applyFont="true" applyBorder="true" applyAlignment="false" applyProtection="false">
      <alignment horizontal="general" vertical="bottom" textRotation="0" wrapText="false" indent="0" shrinkToFit="false"/>
      <protection locked="true" hidden="false"/>
    </xf>
    <xf numFmtId="164" fontId="7" fillId="0" borderId="9" xfId="0" applyFont="true" applyBorder="true" applyAlignment="false" applyProtection="false">
      <alignment horizontal="general" vertical="bottom" textRotation="0" wrapText="false" indent="0" shrinkToFit="false"/>
      <protection locked="true" hidden="false"/>
    </xf>
    <xf numFmtId="167" fontId="6" fillId="11" borderId="1" xfId="36"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52" fillId="21" borderId="1" xfId="0" applyFont="true" applyBorder="true" applyAlignment="true" applyProtection="false">
      <alignment horizontal="center" vertical="center" textRotation="0" wrapText="true" indent="0" shrinkToFit="false"/>
      <protection locked="true" hidden="false"/>
    </xf>
    <xf numFmtId="184" fontId="6" fillId="11" borderId="1" xfId="0" applyFont="true" applyBorder="true" applyAlignment="true" applyProtection="false">
      <alignment horizontal="center" vertical="center" textRotation="0" wrapText="true" indent="0" shrinkToFit="false"/>
      <protection locked="true" hidden="false"/>
    </xf>
    <xf numFmtId="164" fontId="18" fillId="21" borderId="8" xfId="34" applyFont="true" applyBorder="true" applyAlignment="true" applyProtection="false">
      <alignment horizontal="center" vertical="center" textRotation="0" wrapText="false" indent="0" shrinkToFit="false"/>
      <protection locked="true" hidden="false"/>
    </xf>
    <xf numFmtId="164" fontId="28" fillId="11" borderId="8" xfId="34" applyFont="true" applyBorder="true" applyAlignment="true" applyProtection="false">
      <alignment horizontal="left" vertical="bottom" textRotation="0" wrapText="false" indent="0" shrinkToFit="false"/>
      <protection locked="true" hidden="false"/>
    </xf>
    <xf numFmtId="175" fontId="4" fillId="12" borderId="1" xfId="72" applyFont="true" applyBorder="true" applyAlignment="true" applyProtection="true">
      <alignment horizontal="center" vertical="center" textRotation="0" wrapText="false" indent="0" shrinkToFit="false"/>
      <protection locked="true" hidden="false"/>
    </xf>
    <xf numFmtId="167" fontId="4" fillId="12" borderId="1" xfId="19" applyFont="true" applyBorder="true" applyAlignment="true" applyProtection="true">
      <alignment horizontal="center" vertical="center" textRotation="0" wrapText="false" indent="0" shrinkToFit="false"/>
      <protection locked="true" hidden="false"/>
    </xf>
    <xf numFmtId="167" fontId="4" fillId="12" borderId="8" xfId="19" applyFont="true" applyBorder="true" applyAlignment="true" applyProtection="true">
      <alignment horizontal="center" vertical="center" textRotation="0" wrapText="false" indent="0" shrinkToFit="false"/>
      <protection locked="true" hidden="false"/>
    </xf>
    <xf numFmtId="164" fontId="28" fillId="0" borderId="0" xfId="34" applyFont="true" applyBorder="false" applyAlignment="true" applyProtection="false">
      <alignment horizontal="left" vertical="bottom" textRotation="0" wrapText="false" indent="0" shrinkToFit="false"/>
      <protection locked="true" hidden="false"/>
    </xf>
    <xf numFmtId="175" fontId="4" fillId="0" borderId="0" xfId="72" applyFont="true" applyBorder="true" applyAlignment="true" applyProtection="true">
      <alignment horizontal="center" vertical="center" textRotation="0" wrapText="false" indent="0" shrinkToFit="false"/>
      <protection locked="true" hidden="false"/>
    </xf>
    <xf numFmtId="167" fontId="4" fillId="0" borderId="0" xfId="19" applyFont="true" applyBorder="true" applyAlignment="true" applyProtection="true">
      <alignment horizontal="center" vertical="center" textRotation="0" wrapText="false" indent="0" shrinkToFit="false"/>
      <protection locked="true" hidden="false"/>
    </xf>
    <xf numFmtId="164" fontId="20" fillId="0" borderId="0" xfId="0" applyFont="true" applyBorder="false" applyAlignment="true" applyProtection="false">
      <alignment horizontal="left" vertical="center" textRotation="90" wrapText="false" indent="0" shrinkToFit="false"/>
      <protection locked="true" hidden="false"/>
    </xf>
    <xf numFmtId="164" fontId="18" fillId="21" borderId="1" xfId="0" applyFont="true" applyBorder="true" applyAlignment="true" applyProtection="false">
      <alignment horizontal="center" vertical="center" textRotation="0" wrapText="true" indent="0" shrinkToFit="false"/>
      <protection locked="true" hidden="false"/>
    </xf>
    <xf numFmtId="164" fontId="13" fillId="0" borderId="13" xfId="0" applyFont="true" applyBorder="true" applyAlignment="false" applyProtection="false">
      <alignment horizontal="general" vertical="bottom" textRotation="0" wrapText="false" indent="0" shrinkToFit="false"/>
      <protection locked="true" hidden="false"/>
    </xf>
    <xf numFmtId="164" fontId="7" fillId="4" borderId="1" xfId="0" applyFont="true" applyBorder="true" applyAlignment="false" applyProtection="false">
      <alignment horizontal="general" vertical="bottom" textRotation="0" wrapText="false" indent="0" shrinkToFit="false"/>
      <protection locked="true" hidden="false"/>
    </xf>
    <xf numFmtId="164" fontId="7" fillId="4" borderId="1" xfId="0" applyFont="true" applyBorder="true" applyAlignment="true" applyProtection="false">
      <alignment horizontal="center" vertical="bottom" textRotation="0" wrapText="false" indent="0" shrinkToFit="false"/>
      <protection locked="true" hidden="false"/>
    </xf>
    <xf numFmtId="164" fontId="7" fillId="4" borderId="1" xfId="0" applyFont="true" applyBorder="true" applyAlignment="true" applyProtection="false">
      <alignment horizontal="left" vertical="bottom" textRotation="0" wrapText="false" indent="0" shrinkToFit="false"/>
      <protection locked="true" hidden="false"/>
    </xf>
    <xf numFmtId="196" fontId="12" fillId="4" borderId="1" xfId="0" applyFont="true" applyBorder="true" applyAlignment="true" applyProtection="false">
      <alignment horizontal="center" vertical="bottom" textRotation="0" wrapText="false" indent="0" shrinkToFit="false"/>
      <protection locked="true" hidden="false"/>
    </xf>
    <xf numFmtId="164" fontId="18" fillId="22" borderId="28" xfId="34" applyFont="true" applyBorder="true" applyAlignment="true" applyProtection="false">
      <alignment horizontal="center" vertical="center" textRotation="0" wrapText="false" indent="0" shrinkToFit="false"/>
      <protection locked="true" hidden="false"/>
    </xf>
    <xf numFmtId="164" fontId="18" fillId="22" borderId="29" xfId="34" applyFont="true" applyBorder="true" applyAlignment="true" applyProtection="false">
      <alignment horizontal="center" vertical="center" textRotation="0" wrapText="false" indent="0" shrinkToFit="false"/>
      <protection locked="true" hidden="false"/>
    </xf>
    <xf numFmtId="164" fontId="18" fillId="22" borderId="30" xfId="34" applyFont="true" applyBorder="true" applyAlignment="true" applyProtection="false">
      <alignment horizontal="center" vertical="center" textRotation="0" wrapText="false" indent="0" shrinkToFit="false"/>
      <protection locked="true" hidden="false"/>
    </xf>
    <xf numFmtId="164" fontId="18" fillId="22" borderId="31" xfId="34" applyFont="true" applyBorder="true" applyAlignment="true" applyProtection="false">
      <alignment horizontal="center" vertical="center" textRotation="0" wrapText="false" indent="0" shrinkToFit="false"/>
      <protection locked="true" hidden="false"/>
    </xf>
    <xf numFmtId="164" fontId="18" fillId="22" borderId="20" xfId="34" applyFont="true" applyBorder="true" applyAlignment="true" applyProtection="false">
      <alignment horizontal="center" vertical="center" textRotation="0" wrapText="false" indent="0" shrinkToFit="false"/>
      <protection locked="true" hidden="false"/>
    </xf>
    <xf numFmtId="164" fontId="18" fillId="22" borderId="32" xfId="34" applyFont="true" applyBorder="true" applyAlignment="true" applyProtection="false">
      <alignment horizontal="center" vertical="center" textRotation="0" wrapText="false" indent="0" shrinkToFit="false"/>
      <protection locked="true" hidden="false"/>
    </xf>
    <xf numFmtId="164" fontId="28" fillId="22" borderId="33" xfId="34" applyFont="true" applyBorder="true" applyAlignment="true" applyProtection="false">
      <alignment horizontal="center" vertical="center" textRotation="0" wrapText="false" indent="0" shrinkToFit="false"/>
      <protection locked="true" hidden="false"/>
    </xf>
    <xf numFmtId="175" fontId="4" fillId="22" borderId="30" xfId="72" applyFont="true" applyBorder="true" applyAlignment="true" applyProtection="true">
      <alignment horizontal="center" vertical="center" textRotation="0" wrapText="false" indent="0" shrinkToFit="false"/>
      <protection locked="true" hidden="false"/>
    </xf>
    <xf numFmtId="175" fontId="4" fillId="5" borderId="30" xfId="72" applyFont="true" applyBorder="true" applyAlignment="true" applyProtection="true">
      <alignment horizontal="center" vertical="center" textRotation="0" wrapText="false" indent="0" shrinkToFit="false"/>
      <protection locked="true" hidden="false"/>
    </xf>
    <xf numFmtId="175" fontId="4" fillId="5" borderId="31" xfId="72" applyFont="true" applyBorder="true" applyAlignment="true" applyProtection="true">
      <alignment horizontal="center" vertical="center" textRotation="0" wrapText="false" indent="0" shrinkToFit="false"/>
      <protection locked="true" hidden="false"/>
    </xf>
    <xf numFmtId="175" fontId="4" fillId="22" borderId="1" xfId="72" applyFont="true" applyBorder="true" applyAlignment="true" applyProtection="true">
      <alignment horizontal="center" vertical="center" textRotation="0" wrapText="false" indent="0" shrinkToFit="false"/>
      <protection locked="true" hidden="false"/>
    </xf>
    <xf numFmtId="175" fontId="4" fillId="5" borderId="1" xfId="72" applyFont="true" applyBorder="true" applyAlignment="true" applyProtection="true">
      <alignment horizontal="center" vertical="center" textRotation="0" wrapText="false" indent="0" shrinkToFit="false"/>
      <protection locked="true" hidden="false"/>
    </xf>
    <xf numFmtId="175" fontId="4" fillId="5" borderId="34" xfId="72" applyFont="true" applyBorder="true" applyAlignment="true" applyProtection="true">
      <alignment horizontal="center" vertical="center" textRotation="0" wrapText="false" indent="0" shrinkToFit="false"/>
      <protection locked="true" hidden="false"/>
    </xf>
    <xf numFmtId="175" fontId="4" fillId="22" borderId="35" xfId="72" applyFont="true" applyBorder="true" applyAlignment="true" applyProtection="true">
      <alignment horizontal="center" vertical="center" textRotation="0" wrapText="false" indent="0" shrinkToFit="false"/>
      <protection locked="true" hidden="false"/>
    </xf>
    <xf numFmtId="175" fontId="4" fillId="5" borderId="35" xfId="72" applyFont="true" applyBorder="true" applyAlignment="true" applyProtection="true">
      <alignment horizontal="center" vertical="center" textRotation="0" wrapText="false" indent="0" shrinkToFit="false"/>
      <protection locked="true" hidden="false"/>
    </xf>
    <xf numFmtId="175" fontId="4" fillId="5" borderId="36" xfId="72" applyFont="true" applyBorder="true" applyAlignment="true" applyProtection="true">
      <alignment horizontal="center" vertical="center" textRotation="0" wrapText="false" indent="0" shrinkToFit="false"/>
      <protection locked="true" hidden="false"/>
    </xf>
    <xf numFmtId="164" fontId="28" fillId="22" borderId="28" xfId="34" applyFont="true" applyBorder="true" applyAlignment="true" applyProtection="false">
      <alignment horizontal="center" vertical="center" textRotation="0" wrapText="false" indent="0" shrinkToFit="false"/>
      <protection locked="true" hidden="false"/>
    </xf>
    <xf numFmtId="175" fontId="4" fillId="22" borderId="20" xfId="72" applyFont="true" applyBorder="true" applyAlignment="true" applyProtection="true">
      <alignment horizontal="center" vertical="center" textRotation="0" wrapText="false" indent="0" shrinkToFit="false"/>
      <protection locked="true" hidden="false"/>
    </xf>
    <xf numFmtId="175" fontId="4" fillId="5" borderId="20" xfId="72" applyFont="true" applyBorder="true" applyAlignment="true" applyProtection="true">
      <alignment horizontal="center" vertical="center" textRotation="0" wrapText="false" indent="0" shrinkToFit="false"/>
      <protection locked="true" hidden="false"/>
    </xf>
    <xf numFmtId="175" fontId="4" fillId="5" borderId="32" xfId="72" applyFont="true" applyBorder="true" applyAlignment="true" applyProtection="true">
      <alignment horizontal="center" vertical="center" textRotation="0" wrapText="false" indent="0" shrinkToFit="false"/>
      <protection locked="true" hidden="false"/>
    </xf>
    <xf numFmtId="164" fontId="28" fillId="22" borderId="37" xfId="34" applyFont="true" applyBorder="true" applyAlignment="true" applyProtection="false">
      <alignment horizontal="center" vertical="center" textRotation="0" wrapText="false" indent="0" shrinkToFit="false"/>
      <protection locked="true" hidden="false"/>
    </xf>
    <xf numFmtId="175" fontId="4" fillId="22" borderId="16" xfId="72" applyFont="true" applyBorder="true" applyAlignment="true" applyProtection="true">
      <alignment horizontal="center" vertical="center" textRotation="0" wrapText="false" indent="0" shrinkToFit="false"/>
      <protection locked="true" hidden="false"/>
    </xf>
    <xf numFmtId="175" fontId="4" fillId="5" borderId="16" xfId="72" applyFont="true" applyBorder="true" applyAlignment="true" applyProtection="true">
      <alignment horizontal="center" vertical="center" textRotation="0" wrapText="false" indent="0" shrinkToFit="false"/>
      <protection locked="true" hidden="false"/>
    </xf>
    <xf numFmtId="175" fontId="4" fillId="5" borderId="38" xfId="72" applyFont="true" applyBorder="true" applyAlignment="true" applyProtection="true">
      <alignment horizontal="center" vertical="center" textRotation="0" wrapText="false" indent="0" shrinkToFit="false"/>
      <protection locked="true" hidden="false"/>
    </xf>
    <xf numFmtId="164" fontId="18" fillId="8" borderId="20" xfId="34" applyFont="true" applyBorder="true" applyAlignment="true" applyProtection="false">
      <alignment horizontal="center" vertical="center" textRotation="0" wrapText="false" indent="0" shrinkToFit="false"/>
      <protection locked="true" hidden="false"/>
    </xf>
    <xf numFmtId="164" fontId="18" fillId="8" borderId="8" xfId="34" applyFont="true" applyBorder="true" applyAlignment="true" applyProtection="false">
      <alignment horizontal="general" vertical="center" textRotation="0" wrapText="false" indent="0" shrinkToFit="false"/>
      <protection locked="true" hidden="false"/>
    </xf>
    <xf numFmtId="164" fontId="18" fillId="8" borderId="9" xfId="34" applyFont="true" applyBorder="true" applyAlignment="true" applyProtection="false">
      <alignment horizontal="general" vertical="center" textRotation="0" wrapText="false" indent="0" shrinkToFit="false"/>
      <protection locked="true" hidden="false"/>
    </xf>
    <xf numFmtId="164" fontId="28" fillId="23" borderId="33" xfId="34" applyFont="true" applyBorder="true" applyAlignment="true" applyProtection="false">
      <alignment horizontal="center" vertical="center" textRotation="0" wrapText="false" indent="0" shrinkToFit="false"/>
      <protection locked="true" hidden="false"/>
    </xf>
    <xf numFmtId="175" fontId="4" fillId="23" borderId="30" xfId="72" applyFont="true" applyBorder="true" applyAlignment="true" applyProtection="true">
      <alignment horizontal="center" vertical="center" textRotation="0" wrapText="false" indent="0" shrinkToFit="false"/>
      <protection locked="true" hidden="false"/>
    </xf>
    <xf numFmtId="197" fontId="4" fillId="5" borderId="30" xfId="72" applyFont="true" applyBorder="true" applyAlignment="true" applyProtection="true">
      <alignment horizontal="center" vertical="center" textRotation="0" wrapText="false" indent="0" shrinkToFit="false"/>
      <protection locked="true" hidden="false"/>
    </xf>
    <xf numFmtId="196" fontId="12" fillId="7" borderId="31" xfId="0" applyFont="true" applyBorder="true" applyAlignment="true" applyProtection="false">
      <alignment horizontal="center" vertical="bottom" textRotation="0" wrapText="false" indent="0" shrinkToFit="false"/>
      <protection locked="true" hidden="false"/>
    </xf>
    <xf numFmtId="175" fontId="4" fillId="23" borderId="1" xfId="72" applyFont="true" applyBorder="true" applyAlignment="true" applyProtection="true">
      <alignment horizontal="center" vertical="center" textRotation="0" wrapText="false" indent="0" shrinkToFit="false"/>
      <protection locked="true" hidden="false"/>
    </xf>
    <xf numFmtId="197" fontId="4" fillId="5" borderId="1" xfId="72" applyFont="true" applyBorder="true" applyAlignment="true" applyProtection="true">
      <alignment horizontal="center" vertical="center" textRotation="0" wrapText="false" indent="0" shrinkToFit="false"/>
      <protection locked="true" hidden="false"/>
    </xf>
    <xf numFmtId="196" fontId="12" fillId="7" borderId="34" xfId="0" applyFont="true" applyBorder="true" applyAlignment="true" applyProtection="false">
      <alignment horizontal="center" vertical="bottom" textRotation="0" wrapText="false" indent="0" shrinkToFit="false"/>
      <protection locked="true" hidden="false"/>
    </xf>
    <xf numFmtId="175" fontId="4" fillId="23" borderId="35" xfId="72" applyFont="true" applyBorder="true" applyAlignment="true" applyProtection="true">
      <alignment horizontal="center" vertical="center" textRotation="0" wrapText="false" indent="0" shrinkToFit="false"/>
      <protection locked="true" hidden="false"/>
    </xf>
    <xf numFmtId="197" fontId="4" fillId="5" borderId="35" xfId="72" applyFont="true" applyBorder="true" applyAlignment="true" applyProtection="true">
      <alignment horizontal="center" vertical="center" textRotation="0" wrapText="false" indent="0" shrinkToFit="false"/>
      <protection locked="true" hidden="false"/>
    </xf>
    <xf numFmtId="196" fontId="12" fillId="7" borderId="36" xfId="0" applyFont="true" applyBorder="true" applyAlignment="true" applyProtection="false">
      <alignment horizontal="center" vertical="bottom" textRotation="0" wrapText="false" indent="0" shrinkToFit="false"/>
      <protection locked="true" hidden="false"/>
    </xf>
    <xf numFmtId="196" fontId="12" fillId="7" borderId="38" xfId="0" applyFont="true" applyBorder="true" applyAlignment="true" applyProtection="false">
      <alignment horizontal="center" vertical="bottom" textRotation="0" wrapText="false" indent="0" shrinkToFit="false"/>
      <protection locked="true" hidden="false"/>
    </xf>
    <xf numFmtId="196" fontId="12" fillId="7" borderId="39" xfId="0" applyFont="true" applyBorder="true" applyAlignment="true" applyProtection="false">
      <alignment horizontal="center" vertical="bottom" textRotation="0" wrapText="false" indent="0" shrinkToFit="false"/>
      <protection locked="true" hidden="false"/>
    </xf>
    <xf numFmtId="164" fontId="18" fillId="8" borderId="40" xfId="34" applyFont="true" applyBorder="true" applyAlignment="true" applyProtection="false">
      <alignment horizontal="center" vertical="center" textRotation="0" wrapText="false" indent="0" shrinkToFit="false"/>
      <protection locked="true" hidden="false"/>
    </xf>
    <xf numFmtId="164" fontId="18" fillId="8" borderId="30" xfId="34" applyFont="true" applyBorder="true" applyAlignment="true" applyProtection="false">
      <alignment horizontal="center" vertical="center" textRotation="0" wrapText="false" indent="0" shrinkToFit="false"/>
      <protection locked="true" hidden="false"/>
    </xf>
    <xf numFmtId="164" fontId="18" fillId="8" borderId="31" xfId="34" applyFont="true" applyBorder="true" applyAlignment="true" applyProtection="false">
      <alignment horizontal="center" vertical="center" textRotation="0" wrapText="false" indent="0" shrinkToFit="false"/>
      <protection locked="true" hidden="false"/>
    </xf>
    <xf numFmtId="164" fontId="18" fillId="0" borderId="0" xfId="34" applyFont="true" applyBorder="true" applyAlignment="true" applyProtection="false">
      <alignment horizontal="center" vertical="center" textRotation="0" wrapText="false" indent="0" shrinkToFit="false"/>
      <protection locked="true" hidden="false"/>
    </xf>
    <xf numFmtId="164" fontId="18" fillId="8" borderId="34" xfId="34" applyFont="true" applyBorder="true" applyAlignment="true" applyProtection="false">
      <alignment horizontal="center" vertical="center" textRotation="0" wrapText="false" indent="0" shrinkToFit="false"/>
      <protection locked="true" hidden="false"/>
    </xf>
    <xf numFmtId="164" fontId="28" fillId="23" borderId="41" xfId="34" applyFont="true" applyBorder="true" applyAlignment="true" applyProtection="false">
      <alignment horizontal="center" vertical="center" textRotation="0" wrapText="false" indent="0" shrinkToFit="false"/>
      <protection locked="true" hidden="false"/>
    </xf>
    <xf numFmtId="175" fontId="4" fillId="23" borderId="16" xfId="72" applyFont="true" applyBorder="true" applyAlignment="true" applyProtection="true">
      <alignment horizontal="center" vertical="center" textRotation="0" wrapText="false" indent="0" shrinkToFit="false"/>
      <protection locked="true" hidden="false"/>
    </xf>
    <xf numFmtId="177" fontId="4" fillId="5" borderId="1" xfId="72" applyFont="true" applyBorder="true" applyAlignment="true" applyProtection="true">
      <alignment horizontal="center" vertical="center" textRotation="0" wrapText="false" indent="0" shrinkToFit="false"/>
      <protection locked="true" hidden="false"/>
    </xf>
    <xf numFmtId="196" fontId="12" fillId="0" borderId="0" xfId="0" applyFont="true" applyBorder="false" applyAlignment="true" applyProtection="false">
      <alignment horizontal="center" vertical="bottom" textRotation="0" wrapText="false" indent="0" shrinkToFit="false"/>
      <protection locked="true" hidden="false"/>
    </xf>
    <xf numFmtId="164" fontId="28" fillId="23" borderId="1" xfId="34" applyFont="true" applyBorder="true" applyAlignment="true" applyProtection="false">
      <alignment horizontal="center" vertical="center" textRotation="0" wrapText="false" indent="0" shrinkToFit="false"/>
      <protection locked="true" hidden="false"/>
    </xf>
    <xf numFmtId="164" fontId="30" fillId="8" borderId="17" xfId="34" applyFont="true" applyBorder="true" applyAlignment="true" applyProtection="false">
      <alignment horizontal="center" vertical="center" textRotation="0" wrapText="false" indent="0" shrinkToFit="false"/>
      <protection locked="true" hidden="false"/>
    </xf>
    <xf numFmtId="179" fontId="35" fillId="5" borderId="42" xfId="72" applyFont="true" applyBorder="true" applyAlignment="true" applyProtection="true">
      <alignment horizontal="center" vertical="center" textRotation="0" wrapText="false" indent="0" shrinkToFit="false"/>
      <protection locked="true" hidden="false"/>
    </xf>
    <xf numFmtId="164" fontId="52" fillId="21" borderId="16" xfId="0" applyFont="true" applyBorder="true" applyAlignment="true" applyProtection="false">
      <alignment horizontal="center" vertical="center" textRotation="0" wrapText="true" indent="0" shrinkToFit="false"/>
      <protection locked="true" hidden="false"/>
    </xf>
    <xf numFmtId="192" fontId="12" fillId="5" borderId="1"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false" applyAlignment="true" applyProtection="false">
      <alignment horizontal="right" vertical="bottom" textRotation="0" wrapText="false" indent="0" shrinkToFit="false"/>
      <protection locked="true" hidden="false"/>
    </xf>
    <xf numFmtId="187" fontId="6" fillId="11" borderId="1" xfId="19" applyFont="true" applyBorder="true" applyAlignment="true" applyProtection="true">
      <alignment horizontal="center" vertical="center" textRotation="0" wrapText="tru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xf numFmtId="179" fontId="12" fillId="0" borderId="0" xfId="0" applyFont="true" applyBorder="false" applyAlignment="false" applyProtection="false">
      <alignment horizontal="general" vertical="bottom" textRotation="0" wrapText="false" indent="0" shrinkToFit="false"/>
      <protection locked="true" hidden="false"/>
    </xf>
    <xf numFmtId="164" fontId="52" fillId="21" borderId="2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7" fontId="12" fillId="0" borderId="1" xfId="0" applyFont="true" applyBorder="true" applyAlignment="true" applyProtection="false">
      <alignment horizontal="center" vertical="bottom" textRotation="0" wrapText="false" indent="0" shrinkToFit="false"/>
      <protection locked="true" hidden="false"/>
    </xf>
    <xf numFmtId="184" fontId="12" fillId="0" borderId="0" xfId="19" applyFont="true" applyBorder="true" applyAlignment="true" applyProtection="true">
      <alignment horizontal="general" vertical="bottom" textRotation="0" wrapText="false" indent="0" shrinkToFit="false"/>
      <protection locked="true" hidden="false"/>
    </xf>
    <xf numFmtId="164" fontId="18" fillId="22" borderId="1" xfId="34" applyFont="true" applyBorder="true" applyAlignment="true" applyProtection="false">
      <alignment horizontal="center" vertical="center" textRotation="0" wrapText="false" indent="0" shrinkToFit="false"/>
      <protection locked="true" hidden="false"/>
    </xf>
    <xf numFmtId="164" fontId="52" fillId="21" borderId="43" xfId="34" applyFont="true" applyBorder="true" applyAlignment="true" applyProtection="false">
      <alignment horizontal="center" vertical="center" textRotation="0" wrapText="false" indent="0" shrinkToFit="false"/>
      <protection locked="true" hidden="false"/>
    </xf>
    <xf numFmtId="175" fontId="4" fillId="5" borderId="44" xfId="72" applyFont="true" applyBorder="true" applyAlignment="true" applyProtection="true">
      <alignment horizontal="center" vertical="center" textRotation="0" wrapText="false" indent="0" shrinkToFit="false"/>
      <protection locked="true" hidden="false"/>
    </xf>
    <xf numFmtId="184" fontId="4" fillId="12" borderId="45" xfId="19" applyFont="true" applyBorder="true" applyAlignment="true" applyProtection="true">
      <alignment horizontal="center" vertical="center" textRotation="0" wrapText="false" indent="0" shrinkToFit="false"/>
      <protection locked="true" hidden="false"/>
    </xf>
    <xf numFmtId="175" fontId="4" fillId="5" borderId="8" xfId="72" applyFont="true" applyBorder="true" applyAlignment="true" applyProtection="true">
      <alignment horizontal="center" vertical="center" textRotation="0" wrapText="false" indent="0" shrinkToFit="false"/>
      <protection locked="true" hidden="false"/>
    </xf>
    <xf numFmtId="184" fontId="4" fillId="12" borderId="46" xfId="19" applyFont="true" applyBorder="true" applyAlignment="true" applyProtection="true">
      <alignment horizontal="center" vertical="center" textRotation="0" wrapText="false" indent="0" shrinkToFit="false"/>
      <protection locked="true" hidden="false"/>
    </xf>
    <xf numFmtId="184" fontId="12" fillId="0" borderId="0" xfId="0" applyFont="true" applyBorder="false" applyAlignment="false" applyProtection="false">
      <alignment horizontal="general" vertical="bottom" textRotation="0" wrapText="false" indent="0" shrinkToFit="false"/>
      <protection locked="true" hidden="false"/>
    </xf>
    <xf numFmtId="175" fontId="4" fillId="5" borderId="47" xfId="72" applyFont="true" applyBorder="true" applyAlignment="true" applyProtection="true">
      <alignment horizontal="center" vertical="center" textRotation="0" wrapText="false" indent="0" shrinkToFit="false"/>
      <protection locked="true" hidden="false"/>
    </xf>
    <xf numFmtId="184" fontId="4" fillId="12" borderId="48" xfId="19" applyFont="true" applyBorder="true" applyAlignment="true" applyProtection="true">
      <alignment horizontal="center" vertical="center" textRotation="0" wrapText="false" indent="0" shrinkToFit="false"/>
      <protection locked="true" hidden="false"/>
    </xf>
    <xf numFmtId="184" fontId="4" fillId="12" borderId="49" xfId="19" applyFont="true" applyBorder="true" applyAlignment="true" applyProtection="true">
      <alignment horizontal="center" vertical="center" textRotation="0" wrapText="false" indent="0" shrinkToFit="false"/>
      <protection locked="true" hidden="false"/>
    </xf>
    <xf numFmtId="164" fontId="28" fillId="22" borderId="50" xfId="34" applyFont="true" applyBorder="true" applyAlignment="true" applyProtection="false">
      <alignment horizontal="center" vertical="center" textRotation="0" wrapText="false" indent="0" shrinkToFit="false"/>
      <protection locked="true" hidden="false"/>
    </xf>
    <xf numFmtId="175" fontId="4" fillId="5" borderId="15" xfId="72" applyFont="true" applyBorder="true" applyAlignment="true" applyProtection="true">
      <alignment horizontal="center" vertical="center" textRotation="0" wrapText="false" indent="0" shrinkToFit="false"/>
      <protection locked="true" hidden="false"/>
    </xf>
    <xf numFmtId="184" fontId="4" fillId="12" borderId="38" xfId="19" applyFont="true" applyBorder="true" applyAlignment="true" applyProtection="true">
      <alignment horizontal="center" vertical="center" textRotation="0" wrapText="false" indent="0" shrinkToFit="false"/>
      <protection locked="true" hidden="false"/>
    </xf>
    <xf numFmtId="184" fontId="4" fillId="12" borderId="34" xfId="19" applyFont="true" applyBorder="true" applyAlignment="true" applyProtection="true">
      <alignment horizontal="center" vertical="center" textRotation="0" wrapText="false" indent="0" shrinkToFit="false"/>
      <protection locked="true" hidden="false"/>
    </xf>
    <xf numFmtId="184" fontId="4" fillId="12" borderId="32" xfId="19" applyFont="true" applyBorder="true" applyAlignment="true" applyProtection="true">
      <alignment horizontal="center" vertical="center" textRotation="0" wrapText="false" indent="0" shrinkToFit="false"/>
      <protection locked="true" hidden="false"/>
    </xf>
    <xf numFmtId="184" fontId="4" fillId="12" borderId="51" xfId="19" applyFont="true" applyBorder="true" applyAlignment="true" applyProtection="true">
      <alignment horizontal="center" vertical="center" textRotation="0" wrapText="false" indent="0" shrinkToFit="false"/>
      <protection locked="true" hidden="false"/>
    </xf>
    <xf numFmtId="164" fontId="28" fillId="22" borderId="14" xfId="34" applyFont="true" applyBorder="true" applyAlignment="true" applyProtection="false">
      <alignment horizontal="center" vertical="center" textRotation="0" wrapText="false" indent="0" shrinkToFit="false"/>
      <protection locked="true" hidden="false"/>
    </xf>
    <xf numFmtId="198" fontId="4" fillId="24" borderId="30" xfId="72" applyFont="true" applyBorder="true" applyAlignment="true" applyProtection="true">
      <alignment horizontal="center" vertical="center" textRotation="0" wrapText="false" indent="0" shrinkToFit="false"/>
      <protection locked="true" hidden="false"/>
    </xf>
    <xf numFmtId="198" fontId="4" fillId="24" borderId="31" xfId="72" applyFont="true" applyBorder="true" applyAlignment="true" applyProtection="true">
      <alignment horizontal="center" vertical="center" textRotation="0" wrapText="false" indent="0" shrinkToFit="false"/>
      <protection locked="true" hidden="false"/>
    </xf>
    <xf numFmtId="198" fontId="4" fillId="24" borderId="1" xfId="72" applyFont="true" applyBorder="true" applyAlignment="true" applyProtection="true">
      <alignment horizontal="center" vertical="center" textRotation="0" wrapText="false" indent="0" shrinkToFit="false"/>
      <protection locked="true" hidden="false"/>
    </xf>
    <xf numFmtId="198" fontId="4" fillId="24" borderId="34" xfId="72" applyFont="true" applyBorder="true" applyAlignment="true" applyProtection="true">
      <alignment horizontal="center" vertical="center" textRotation="0" wrapText="false" indent="0" shrinkToFit="false"/>
      <protection locked="true" hidden="false"/>
    </xf>
    <xf numFmtId="198" fontId="4" fillId="24" borderId="35" xfId="72" applyFont="true" applyBorder="true" applyAlignment="true" applyProtection="true">
      <alignment horizontal="center" vertical="center" textRotation="0" wrapText="false" indent="0" shrinkToFit="false"/>
      <protection locked="true" hidden="false"/>
    </xf>
    <xf numFmtId="198" fontId="4" fillId="24" borderId="36" xfId="72" applyFont="true" applyBorder="true" applyAlignment="true" applyProtection="true">
      <alignment horizontal="center" vertical="center" textRotation="0" wrapText="false" indent="0" shrinkToFit="false"/>
      <protection locked="true" hidden="false"/>
    </xf>
    <xf numFmtId="164" fontId="28" fillId="23" borderId="28" xfId="34" applyFont="true" applyBorder="true" applyAlignment="true" applyProtection="false">
      <alignment horizontal="center" vertical="center" textRotation="0" wrapText="false" indent="0" shrinkToFit="false"/>
      <protection locked="true" hidden="false"/>
    </xf>
    <xf numFmtId="175" fontId="4" fillId="23" borderId="20" xfId="72" applyFont="true" applyBorder="true" applyAlignment="true" applyProtection="true">
      <alignment horizontal="center" vertical="center" textRotation="0" wrapText="false" indent="0" shrinkToFit="false"/>
      <protection locked="true" hidden="false"/>
    </xf>
    <xf numFmtId="198" fontId="4" fillId="24" borderId="20" xfId="72" applyFont="true" applyBorder="true" applyAlignment="true" applyProtection="true">
      <alignment horizontal="center" vertical="center" textRotation="0" wrapText="false" indent="0" shrinkToFit="false"/>
      <protection locked="true" hidden="false"/>
    </xf>
    <xf numFmtId="198" fontId="4" fillId="24" borderId="32" xfId="72" applyFont="true" applyBorder="true" applyAlignment="true" applyProtection="true">
      <alignment horizontal="center" vertical="center" textRotation="0" wrapText="false" indent="0" shrinkToFit="false"/>
      <protection locked="true" hidden="false"/>
    </xf>
    <xf numFmtId="164" fontId="28" fillId="23" borderId="50" xfId="34" applyFont="true" applyBorder="true" applyAlignment="true" applyProtection="false">
      <alignment horizontal="center" vertical="center" textRotation="0" wrapText="false" indent="0" shrinkToFit="false"/>
      <protection locked="true" hidden="false"/>
    </xf>
    <xf numFmtId="198" fontId="4" fillId="24" borderId="16" xfId="72" applyFont="true" applyBorder="true" applyAlignment="true" applyProtection="true">
      <alignment horizontal="center" vertical="center" textRotation="0" wrapText="false" indent="0" shrinkToFit="false"/>
      <protection locked="true" hidden="false"/>
    </xf>
    <xf numFmtId="198" fontId="4" fillId="24" borderId="38" xfId="72" applyFont="true" applyBorder="true" applyAlignment="true" applyProtection="true">
      <alignment horizontal="center" vertical="center" textRotation="0" wrapText="false" indent="0" shrinkToFit="false"/>
      <protection locked="true" hidden="false"/>
    </xf>
    <xf numFmtId="164" fontId="28" fillId="23" borderId="10" xfId="34" applyFont="true" applyBorder="true" applyAlignment="true" applyProtection="false">
      <alignment horizontal="center" vertical="center" textRotation="0" wrapText="false" indent="0" shrinkToFit="false"/>
      <protection locked="true" hidden="false"/>
    </xf>
    <xf numFmtId="175" fontId="4" fillId="23" borderId="44" xfId="72" applyFont="true" applyBorder="true" applyAlignment="true" applyProtection="true">
      <alignment horizontal="center" vertical="center" textRotation="0" wrapText="false" indent="0" shrinkToFit="false"/>
      <protection locked="true" hidden="false"/>
    </xf>
    <xf numFmtId="175" fontId="4" fillId="5" borderId="33" xfId="72" applyFont="true" applyBorder="true" applyAlignment="true" applyProtection="true">
      <alignment horizontal="center" vertical="center" textRotation="0" wrapText="false" indent="0" shrinkToFit="false"/>
      <protection locked="true" hidden="false"/>
    </xf>
    <xf numFmtId="175" fontId="4" fillId="5" borderId="52" xfId="72" applyFont="true" applyBorder="true" applyAlignment="true" applyProtection="true">
      <alignment horizontal="center" vertical="center" textRotation="0" wrapText="false" indent="0" shrinkToFit="false"/>
      <protection locked="true" hidden="false"/>
    </xf>
    <xf numFmtId="175" fontId="4" fillId="5" borderId="42" xfId="72" applyFont="true" applyBorder="true" applyAlignment="true" applyProtection="true">
      <alignment horizontal="center" vertical="center" textRotation="0" wrapText="false" indent="0" shrinkToFit="false"/>
      <protection locked="true" hidden="false"/>
    </xf>
    <xf numFmtId="175" fontId="4" fillId="23" borderId="8" xfId="72" applyFont="true" applyBorder="true" applyAlignment="true" applyProtection="true">
      <alignment horizontal="center" vertical="center" textRotation="0" wrapText="false" indent="0" shrinkToFit="false"/>
      <protection locked="true" hidden="false"/>
    </xf>
    <xf numFmtId="175" fontId="4" fillId="23" borderId="47" xfId="72" applyFont="true" applyBorder="true" applyAlignment="true" applyProtection="true">
      <alignment horizontal="center" vertical="center" textRotation="0" wrapText="false" indent="0" shrinkToFit="false"/>
      <protection locked="true" hidden="false"/>
    </xf>
    <xf numFmtId="175" fontId="4" fillId="5" borderId="28" xfId="72" applyFont="true" applyBorder="true" applyAlignment="true" applyProtection="true">
      <alignment horizontal="center" vertical="center" textRotation="0" wrapText="false" indent="0" shrinkToFit="false"/>
      <protection locked="true" hidden="false"/>
    </xf>
    <xf numFmtId="175" fontId="4" fillId="5" borderId="29" xfId="72" applyFont="true" applyBorder="true" applyAlignment="true" applyProtection="true">
      <alignment horizontal="center" vertical="center" textRotation="0" wrapText="false" indent="0" shrinkToFit="false"/>
      <protection locked="true" hidden="false"/>
    </xf>
    <xf numFmtId="175" fontId="4" fillId="5" borderId="43" xfId="72" applyFont="true" applyBorder="true" applyAlignment="true" applyProtection="true">
      <alignment horizontal="center" vertical="center" textRotation="0" wrapText="false" indent="0" shrinkToFit="false"/>
      <protection locked="true" hidden="false"/>
    </xf>
    <xf numFmtId="175" fontId="4" fillId="23" borderId="18" xfId="72" applyFont="true" applyBorder="true" applyAlignment="true" applyProtection="true">
      <alignment horizontal="center" vertical="center" textRotation="0" wrapText="false" indent="0" shrinkToFit="false"/>
      <protection locked="true" hidden="false"/>
    </xf>
    <xf numFmtId="175" fontId="4" fillId="5" borderId="53" xfId="72" applyFont="true" applyBorder="true" applyAlignment="true" applyProtection="true">
      <alignment horizontal="center" vertical="center" textRotation="0" wrapText="false" indent="0" shrinkToFit="false"/>
      <protection locked="true" hidden="false"/>
    </xf>
    <xf numFmtId="175" fontId="4" fillId="5" borderId="39" xfId="72" applyFont="true" applyBorder="true" applyAlignment="true" applyProtection="true">
      <alignment horizontal="center" vertical="center" textRotation="0" wrapText="false" indent="0" shrinkToFit="false"/>
      <protection locked="true" hidden="false"/>
    </xf>
    <xf numFmtId="164" fontId="28" fillId="23" borderId="37" xfId="34" applyFont="true" applyBorder="true" applyAlignment="true" applyProtection="false">
      <alignment horizontal="center" vertical="center" textRotation="0" wrapText="false" indent="0" shrinkToFit="false"/>
      <protection locked="true" hidden="false"/>
    </xf>
    <xf numFmtId="175" fontId="4" fillId="23" borderId="15" xfId="72" applyFont="true" applyBorder="true" applyAlignment="true" applyProtection="true">
      <alignment horizontal="center" vertical="center" textRotation="0" wrapText="false" indent="0" shrinkToFit="false"/>
      <protection locked="true" hidden="false"/>
    </xf>
    <xf numFmtId="175" fontId="4" fillId="5" borderId="37" xfId="72" applyFont="true" applyBorder="true" applyAlignment="true" applyProtection="true">
      <alignment horizontal="center" vertical="center" textRotation="0" wrapText="false" indent="0" shrinkToFit="false"/>
      <protection locked="true" hidden="false"/>
    </xf>
    <xf numFmtId="175" fontId="4" fillId="5" borderId="21" xfId="72" applyFont="true" applyBorder="true" applyAlignment="true" applyProtection="true">
      <alignment horizontal="center" vertical="center" textRotation="0" wrapText="false" indent="0" shrinkToFit="false"/>
      <protection locked="true" hidden="false"/>
    </xf>
    <xf numFmtId="175" fontId="4" fillId="5" borderId="54" xfId="72" applyFont="true" applyBorder="true" applyAlignment="true" applyProtection="true">
      <alignment horizontal="center" vertical="center" textRotation="0" wrapText="false" indent="0" shrinkToFit="false"/>
      <protection locked="true" hidden="false"/>
    </xf>
    <xf numFmtId="175" fontId="4" fillId="5" borderId="55" xfId="72" applyFont="true" applyBorder="true" applyAlignment="true" applyProtection="true">
      <alignment horizontal="center" vertical="center" textRotation="0" wrapText="false" indent="0" shrinkToFit="false"/>
      <protection locked="true" hidden="false"/>
    </xf>
    <xf numFmtId="164" fontId="9" fillId="15" borderId="1" xfId="0" applyFont="true" applyBorder="true" applyAlignment="true" applyProtection="false">
      <alignment horizontal="center" vertical="center" textRotation="0" wrapText="true" indent="0" shrinkToFit="false"/>
      <protection locked="true" hidden="false"/>
    </xf>
    <xf numFmtId="164" fontId="52" fillId="15" borderId="8" xfId="0" applyFont="true" applyBorder="true" applyAlignment="true" applyProtection="false">
      <alignment horizontal="center" vertical="center" textRotation="0" wrapText="true" indent="0" shrinkToFit="false"/>
      <protection locked="true" hidden="false"/>
    </xf>
    <xf numFmtId="164" fontId="52" fillId="15" borderId="9" xfId="0" applyFont="true" applyBorder="true" applyAlignment="true" applyProtection="false">
      <alignment horizontal="center" vertical="center" textRotation="0" wrapText="true" indent="0" shrinkToFit="false"/>
      <protection locked="true" hidden="false"/>
    </xf>
    <xf numFmtId="164" fontId="52" fillId="15" borderId="1" xfId="0" applyFont="true" applyBorder="true" applyAlignment="true" applyProtection="false">
      <alignment horizontal="center" vertical="center" textRotation="0" wrapText="true" indent="0" shrinkToFit="false"/>
      <protection locked="true" hidden="false"/>
    </xf>
    <xf numFmtId="164" fontId="55" fillId="15" borderId="9" xfId="0" applyFont="true" applyBorder="true" applyAlignment="true" applyProtection="false">
      <alignment horizontal="center" vertical="center" textRotation="0" wrapText="true" indent="0" shrinkToFit="false"/>
      <protection locked="true" hidden="false"/>
    </xf>
    <xf numFmtId="187" fontId="59" fillId="7" borderId="1" xfId="19" applyFont="true" applyBorder="true" applyAlignment="true" applyProtection="true">
      <alignment horizontal="left" vertical="center" textRotation="0" wrapText="false" indent="0" shrinkToFit="false"/>
      <protection locked="true" hidden="false"/>
    </xf>
    <xf numFmtId="164" fontId="60" fillId="15" borderId="9" xfId="0" applyFont="true" applyBorder="true" applyAlignment="true" applyProtection="false">
      <alignment horizontal="center" vertical="center" textRotation="0" wrapText="true" indent="0" shrinkToFit="false"/>
      <protection locked="true" hidden="false"/>
    </xf>
    <xf numFmtId="164" fontId="9" fillId="21" borderId="1" xfId="0" applyFont="true" applyBorder="true" applyAlignment="true" applyProtection="false">
      <alignment horizontal="center" vertical="center" textRotation="0" wrapText="true" indent="0" shrinkToFit="false"/>
      <protection locked="true" hidden="false"/>
    </xf>
    <xf numFmtId="164" fontId="52" fillId="21" borderId="8" xfId="0" applyFont="true" applyBorder="true" applyAlignment="true" applyProtection="false">
      <alignment horizontal="center" vertical="center" textRotation="0" wrapText="true" indent="0" shrinkToFit="false"/>
      <protection locked="true" hidden="false"/>
    </xf>
    <xf numFmtId="164" fontId="52" fillId="21" borderId="9" xfId="0" applyFont="true" applyBorder="true" applyAlignment="true" applyProtection="false">
      <alignment horizontal="center" vertical="center" textRotation="0" wrapText="true" indent="0" shrinkToFit="false"/>
      <protection locked="true" hidden="false"/>
    </xf>
    <xf numFmtId="164" fontId="55" fillId="21" borderId="9" xfId="0" applyFont="true" applyBorder="true" applyAlignment="true" applyProtection="false">
      <alignment horizontal="center" vertical="center" textRotation="0" wrapText="true" indent="0" shrinkToFit="false"/>
      <protection locked="true" hidden="false"/>
    </xf>
    <xf numFmtId="187" fontId="9" fillId="11" borderId="1" xfId="19" applyFont="true" applyBorder="true" applyAlignment="true" applyProtection="true">
      <alignment horizontal="center" vertical="center" textRotation="0" wrapText="true" indent="0" shrinkToFit="false"/>
      <protection locked="true" hidden="false"/>
    </xf>
    <xf numFmtId="164" fontId="60" fillId="21" borderId="9" xfId="0" applyFont="true" applyBorder="true" applyAlignment="true" applyProtection="false">
      <alignment horizontal="center" vertical="center" textRotation="0" wrapText="true" indent="0" shrinkToFit="false"/>
      <protection locked="true" hidden="false"/>
    </xf>
    <xf numFmtId="179" fontId="13" fillId="5" borderId="1" xfId="0" applyFont="true" applyBorder="true" applyAlignment="true" applyProtection="false">
      <alignment horizontal="center" vertical="bottom" textRotation="0" wrapText="false" indent="0" shrinkToFit="false"/>
      <protection locked="true" hidden="false"/>
    </xf>
    <xf numFmtId="179" fontId="12" fillId="0" borderId="0" xfId="0" applyFont="true" applyBorder="false" applyAlignment="true" applyProtection="false">
      <alignment horizontal="right" vertical="bottom" textRotation="0" wrapText="false" indent="0" shrinkToFit="false"/>
      <protection locked="true" hidden="false"/>
    </xf>
    <xf numFmtId="164" fontId="18" fillId="15" borderId="1" xfId="0" applyFont="true" applyBorder="true" applyAlignment="false" applyProtection="false">
      <alignment horizontal="general" vertical="bottom" textRotation="0" wrapText="false" indent="0" shrinkToFit="false"/>
      <protection locked="true" hidden="false"/>
    </xf>
    <xf numFmtId="192" fontId="13" fillId="7" borderId="1" xfId="0" applyFont="true" applyBorder="true" applyAlignment="false" applyProtection="false">
      <alignment horizontal="general" vertical="bottom" textRotation="0" wrapText="false" indent="0" shrinkToFit="false"/>
      <protection locked="true" hidden="false"/>
    </xf>
    <xf numFmtId="164" fontId="18" fillId="21" borderId="8" xfId="0" applyFont="true" applyBorder="true" applyAlignment="false" applyProtection="false">
      <alignment horizontal="general" vertical="bottom" textRotation="0" wrapText="false" indent="0" shrinkToFit="false"/>
      <protection locked="true" hidden="false"/>
    </xf>
    <xf numFmtId="167" fontId="13" fillId="11" borderId="1" xfId="19" applyFont="true" applyBorder="true" applyAlignment="true" applyProtection="true">
      <alignment horizontal="center" vertical="bottom" textRotation="0" wrapText="false" indent="0" shrinkToFit="false"/>
      <protection locked="true" hidden="false"/>
    </xf>
    <xf numFmtId="164" fontId="18" fillId="25" borderId="1" xfId="0" applyFont="true" applyBorder="true" applyAlignment="true" applyProtection="false">
      <alignment horizontal="center" vertical="bottom" textRotation="0" wrapText="false" indent="0" shrinkToFit="false"/>
      <protection locked="true" hidden="false"/>
    </xf>
    <xf numFmtId="183" fontId="13" fillId="7" borderId="1" xfId="19" applyFont="true" applyBorder="true" applyAlignment="true" applyProtection="true">
      <alignment horizontal="center" vertical="bottom" textRotation="0" wrapText="false" indent="0" shrinkToFit="false"/>
      <protection locked="true" hidden="false"/>
    </xf>
    <xf numFmtId="164" fontId="61" fillId="2" borderId="20" xfId="0" applyFont="true" applyBorder="true" applyAlignment="true" applyProtection="false">
      <alignment horizontal="center" vertical="center" textRotation="0" wrapText="true" indent="0" shrinkToFit="false"/>
      <protection locked="true" hidden="false"/>
    </xf>
    <xf numFmtId="164" fontId="62" fillId="2" borderId="9" xfId="0" applyFont="true" applyBorder="true" applyAlignment="true" applyProtection="false">
      <alignment horizontal="general" vertical="center" textRotation="0" wrapText="true" indent="0" shrinkToFit="false"/>
      <protection locked="true" hidden="false"/>
    </xf>
    <xf numFmtId="164" fontId="62" fillId="21" borderId="21" xfId="0" applyFont="true" applyBorder="true" applyAlignment="true" applyProtection="false">
      <alignment horizontal="center" vertical="center" textRotation="0" wrapText="true" indent="0" shrinkToFit="false"/>
      <protection locked="true" hidden="false"/>
    </xf>
    <xf numFmtId="183" fontId="9" fillId="4" borderId="9" xfId="0" applyFont="true" applyBorder="true" applyAlignment="true" applyProtection="false">
      <alignment horizontal="center" vertical="center" textRotation="0" wrapText="true" indent="0" shrinkToFit="false"/>
      <protection locked="true" hidden="false"/>
    </xf>
    <xf numFmtId="164" fontId="62" fillId="23" borderId="21" xfId="0" applyFont="true" applyBorder="true" applyAlignment="true" applyProtection="false">
      <alignment horizontal="center" vertical="center" textRotation="0" wrapText="true" indent="0" shrinkToFit="false"/>
      <protection locked="true" hidden="false"/>
    </xf>
    <xf numFmtId="183" fontId="9" fillId="23" borderId="9" xfId="0" applyFont="true" applyBorder="true" applyAlignment="true" applyProtection="false">
      <alignment horizontal="center" vertical="center" textRotation="0" wrapText="true" indent="0" shrinkToFit="false"/>
      <protection locked="true" hidden="false"/>
    </xf>
    <xf numFmtId="164" fontId="61" fillId="2" borderId="16" xfId="0" applyFont="true" applyBorder="true" applyAlignment="true" applyProtection="false">
      <alignment horizontal="center" vertical="center" textRotation="0" wrapText="true" indent="0" shrinkToFit="false"/>
      <protection locked="true" hidden="false"/>
    </xf>
    <xf numFmtId="183" fontId="9" fillId="2" borderId="9" xfId="0" applyFont="true" applyBorder="true" applyAlignment="true" applyProtection="false">
      <alignment horizontal="center" vertical="center" textRotation="0" wrapText="true" indent="0" shrinkToFit="false"/>
      <protection locked="true" hidden="false"/>
    </xf>
    <xf numFmtId="164" fontId="17" fillId="8" borderId="1" xfId="0" applyFont="true" applyBorder="true" applyAlignment="true" applyProtection="false">
      <alignment horizontal="center" vertical="bottom" textRotation="0" wrapText="false" indent="0" shrinkToFit="false"/>
      <protection locked="true" hidden="false"/>
    </xf>
    <xf numFmtId="199" fontId="13" fillId="5" borderId="1" xfId="0" applyFont="true" applyBorder="true" applyAlignment="true" applyProtection="false">
      <alignment horizontal="center" vertical="bottom" textRotation="0" wrapText="false" indent="0" shrinkToFit="false"/>
      <protection locked="true" hidden="false"/>
    </xf>
    <xf numFmtId="164" fontId="18" fillId="21" borderId="1" xfId="0" applyFont="true" applyBorder="true" applyAlignment="true" applyProtection="false">
      <alignment horizontal="center" vertical="bottom" textRotation="0" wrapText="false" indent="0" shrinkToFit="false"/>
      <protection locked="true" hidden="false"/>
    </xf>
    <xf numFmtId="191" fontId="13" fillId="4" borderId="1" xfId="19" applyFont="true" applyBorder="true" applyAlignment="true" applyProtection="true">
      <alignment horizontal="center" vertical="bottom" textRotation="0" wrapText="false" indent="0" shrinkToFit="false"/>
      <protection locked="true" hidden="false"/>
    </xf>
    <xf numFmtId="164" fontId="5" fillId="0" borderId="0" xfId="36" applyFont="false" applyBorder="false" applyAlignment="false" applyProtection="false">
      <alignment horizontal="general" vertical="bottom" textRotation="0" wrapText="false" indent="0" shrinkToFit="false"/>
      <protection locked="true" hidden="false"/>
    </xf>
    <xf numFmtId="172" fontId="18" fillId="21" borderId="1" xfId="72" applyFont="true" applyBorder="true" applyAlignment="true" applyProtection="true">
      <alignment horizontal="center" vertical="center" textRotation="0" wrapText="false" indent="0" shrinkToFit="false"/>
      <protection locked="true" hidden="false"/>
    </xf>
    <xf numFmtId="200" fontId="15" fillId="11" borderId="1" xfId="41" applyFont="true" applyBorder="true" applyAlignment="true" applyProtection="false">
      <alignment horizontal="center" vertical="center" textRotation="0" wrapText="false" indent="0" shrinkToFit="false"/>
      <protection locked="true" hidden="false"/>
    </xf>
    <xf numFmtId="172" fontId="18" fillId="21" borderId="1" xfId="72" applyFont="true" applyBorder="true" applyAlignment="true" applyProtection="true">
      <alignment horizontal="center" vertical="center" textRotation="0" wrapText="true" indent="0" shrinkToFit="false"/>
      <protection locked="true" hidden="false"/>
    </xf>
    <xf numFmtId="201" fontId="15" fillId="11" borderId="9" xfId="41" applyFont="true" applyBorder="true" applyAlignment="true" applyProtection="false">
      <alignment horizontal="center" vertical="center" textRotation="0" wrapText="false" indent="0" shrinkToFit="false"/>
      <protection locked="true" hidden="false"/>
    </xf>
    <xf numFmtId="173" fontId="4" fillId="4" borderId="1" xfId="41" applyFont="false" applyBorder="true" applyAlignment="true" applyProtection="false">
      <alignment horizontal="center" vertical="center" textRotation="0" wrapText="false" indent="0" shrinkToFit="false"/>
      <protection locked="true" hidden="false"/>
    </xf>
    <xf numFmtId="164" fontId="29" fillId="0" borderId="0" xfId="20" applyFont="true" applyBorder="true" applyAlignment="true" applyProtection="true">
      <alignment horizontal="left"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52" fillId="10" borderId="1" xfId="72" applyFont="true" applyBorder="true" applyAlignment="true" applyProtection="true">
      <alignment horizontal="center" vertical="center" textRotation="0" wrapText="false" indent="0" shrinkToFit="false"/>
      <protection locked="true" hidden="false"/>
    </xf>
    <xf numFmtId="172" fontId="18" fillId="10" borderId="1" xfId="72" applyFont="true" applyBorder="true" applyAlignment="true" applyProtection="true">
      <alignment horizontal="center" vertical="center" textRotation="0" wrapText="false" indent="0" shrinkToFit="false"/>
      <protection locked="true" hidden="false"/>
    </xf>
    <xf numFmtId="172" fontId="63" fillId="10" borderId="1" xfId="72" applyFont="true" applyBorder="true" applyAlignment="true" applyProtection="true">
      <alignment horizontal="center" vertical="center" textRotation="0" wrapText="false" indent="0" shrinkToFit="false"/>
      <protection locked="true" hidden="false"/>
    </xf>
    <xf numFmtId="187" fontId="4" fillId="4" borderId="1" xfId="19"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right" vertical="bottom" textRotation="0" wrapText="false" indent="0" shrinkToFit="false"/>
      <protection locked="true" hidden="false"/>
    </xf>
    <xf numFmtId="164" fontId="7" fillId="0" borderId="0" xfId="36" applyFont="true" applyBorder="false" applyAlignment="true" applyProtection="false">
      <alignment horizontal="right" vertical="bottom" textRotation="0" wrapText="false" indent="0" shrinkToFit="false"/>
      <protection locked="true" hidden="false"/>
    </xf>
    <xf numFmtId="164" fontId="23" fillId="3" borderId="1" xfId="0" applyFont="true" applyBorder="true" applyAlignment="true" applyProtection="false">
      <alignment horizontal="center" vertical="bottom" textRotation="0" wrapText="true" indent="0" shrinkToFit="false"/>
      <protection locked="true" hidden="false"/>
    </xf>
    <xf numFmtId="164" fontId="7" fillId="0" borderId="0" xfId="36" applyFont="true" applyBorder="false" applyAlignment="false" applyProtection="false">
      <alignment horizontal="general" vertical="bottom" textRotation="0" wrapText="false" indent="0" shrinkToFit="false"/>
      <protection locked="true" hidden="false"/>
    </xf>
    <xf numFmtId="164" fontId="64" fillId="0" borderId="0" xfId="36" applyFont="true" applyBorder="false" applyAlignment="false" applyProtection="false">
      <alignment horizontal="general" vertical="bottom" textRotation="0" wrapText="false" indent="0" shrinkToFit="false"/>
      <protection locked="true" hidden="false"/>
    </xf>
    <xf numFmtId="164" fontId="13" fillId="5" borderId="2" xfId="36" applyFont="true" applyBorder="true" applyAlignment="true" applyProtection="false">
      <alignment horizontal="center" vertical="center" textRotation="0" wrapText="false" indent="0" shrinkToFit="false"/>
      <protection locked="true" hidden="false"/>
    </xf>
    <xf numFmtId="164" fontId="38" fillId="0" borderId="0" xfId="36" applyFont="true" applyBorder="false" applyAlignment="false" applyProtection="false">
      <alignment horizontal="general" vertical="bottom" textRotation="0" wrapText="false" indent="0" shrinkToFit="false"/>
      <protection locked="true" hidden="false"/>
    </xf>
    <xf numFmtId="164"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3" xfId="36" applyFont="true" applyBorder="true" applyAlignment="false" applyProtection="false">
      <alignment horizontal="general" vertical="bottom" textRotation="0" wrapText="false" indent="0" shrinkToFit="false"/>
      <protection locked="true" hidden="false"/>
    </xf>
    <xf numFmtId="164" fontId="13" fillId="0" borderId="4" xfId="36" applyFont="true" applyBorder="true" applyAlignment="true" applyProtection="false">
      <alignment horizontal="center" vertical="bottom" textRotation="0" wrapText="false" indent="0" shrinkToFit="false"/>
      <protection locked="true" hidden="false"/>
    </xf>
    <xf numFmtId="164" fontId="15" fillId="0" borderId="4" xfId="36" applyFont="true" applyBorder="true" applyAlignment="true" applyProtection="false">
      <alignment horizontal="center" vertical="bottom" textRotation="0" wrapText="false" indent="0" shrinkToFit="false"/>
      <protection locked="true" hidden="false"/>
    </xf>
    <xf numFmtId="164" fontId="4" fillId="0" borderId="5" xfId="36" applyFont="true" applyBorder="true" applyAlignment="false" applyProtection="false">
      <alignment horizontal="general" vertical="bottom" textRotation="0" wrapText="false" indent="0" shrinkToFit="false"/>
      <protection locked="true" hidden="false"/>
    </xf>
    <xf numFmtId="167" fontId="5" fillId="0" borderId="0" xfId="36" applyFont="false" applyBorder="false" applyAlignment="false" applyProtection="false">
      <alignment horizontal="general" vertical="bottom" textRotation="0" wrapText="false" indent="0" shrinkToFit="false"/>
      <protection locked="true" hidden="false"/>
    </xf>
    <xf numFmtId="164" fontId="12" fillId="0" borderId="6" xfId="36" applyFont="true" applyBorder="true" applyAlignment="false" applyProtection="false">
      <alignment horizontal="general" vertical="bottom" textRotation="0" wrapText="false" indent="0" shrinkToFit="false"/>
      <protection locked="true" hidden="false"/>
    </xf>
    <xf numFmtId="164" fontId="28" fillId="0" borderId="0" xfId="36" applyFont="true" applyBorder="false" applyAlignment="true" applyProtection="false">
      <alignment horizontal="general" vertical="center" textRotation="0" wrapText="false" indent="0" shrinkToFit="false"/>
      <protection locked="true" hidden="false"/>
    </xf>
    <xf numFmtId="164" fontId="4" fillId="0" borderId="7" xfId="36" applyFont="true" applyBorder="true" applyAlignment="false" applyProtection="false">
      <alignment horizontal="general" vertical="bottom" textRotation="0" wrapText="false" indent="0" shrinkToFit="false"/>
      <protection locked="true" hidden="false"/>
    </xf>
    <xf numFmtId="164" fontId="44" fillId="0" borderId="0" xfId="36" applyFont="true" applyBorder="false" applyAlignment="true" applyProtection="false">
      <alignment horizontal="center" vertical="bottom" textRotation="0" wrapText="false" indent="0" shrinkToFit="false"/>
      <protection locked="true" hidden="false"/>
    </xf>
    <xf numFmtId="167" fontId="44" fillId="0" borderId="0" xfId="36" applyFont="true" applyBorder="false" applyAlignment="true" applyProtection="false">
      <alignment horizontal="center" vertical="bottom" textRotation="0" wrapText="false" indent="0" shrinkToFit="false"/>
      <protection locked="true" hidden="false"/>
    </xf>
    <xf numFmtId="187" fontId="63" fillId="0" borderId="0" xfId="19" applyFont="true" applyBorder="true" applyAlignment="true" applyProtection="true">
      <alignment horizontal="center" vertical="center" textRotation="0" wrapText="false" indent="0" shrinkToFit="false"/>
      <protection locked="true" hidden="false"/>
    </xf>
    <xf numFmtId="202" fontId="44" fillId="0" borderId="0" xfId="36" applyFont="true" applyBorder="false" applyAlignment="false" applyProtection="false">
      <alignment horizontal="general" vertical="bottom" textRotation="0" wrapText="false" indent="0" shrinkToFit="false"/>
      <protection locked="true" hidden="false"/>
    </xf>
    <xf numFmtId="164" fontId="12" fillId="0" borderId="10" xfId="36" applyFont="true" applyBorder="true" applyAlignment="false" applyProtection="false">
      <alignment horizontal="general" vertical="bottom" textRotation="0" wrapText="false" indent="0" shrinkToFit="false"/>
      <protection locked="true" hidden="false"/>
    </xf>
    <xf numFmtId="164" fontId="12" fillId="0" borderId="11" xfId="36" applyFont="true" applyBorder="true" applyAlignment="false" applyProtection="false">
      <alignment horizontal="general" vertical="bottom" textRotation="0" wrapText="false" indent="0" shrinkToFit="false"/>
      <protection locked="true" hidden="false"/>
    </xf>
    <xf numFmtId="164" fontId="4" fillId="0" borderId="11" xfId="36" applyFont="true" applyBorder="true" applyAlignment="false" applyProtection="false">
      <alignment horizontal="general" vertical="bottom" textRotation="0" wrapText="false" indent="0" shrinkToFit="false"/>
      <protection locked="true" hidden="false"/>
    </xf>
    <xf numFmtId="164" fontId="4" fillId="0" borderId="12" xfId="36" applyFont="true" applyBorder="true" applyAlignment="false" applyProtection="false">
      <alignment horizontal="general" vertical="bottom" textRotation="0" wrapText="false" indent="0" shrinkToFit="false"/>
      <protection locked="true" hidden="false"/>
    </xf>
    <xf numFmtId="187" fontId="44" fillId="0" borderId="0" xfId="19" applyFont="true" applyBorder="true" applyAlignment="true" applyProtection="true">
      <alignment horizontal="center" vertical="bottom" textRotation="0" wrapText="false" indent="0" shrinkToFit="false"/>
      <protection locked="true" hidden="false"/>
    </xf>
    <xf numFmtId="167" fontId="44" fillId="0" borderId="0" xfId="36" applyFont="true" applyBorder="false" applyAlignment="true" applyProtection="false">
      <alignment horizontal="general" vertical="center" textRotation="0" wrapText="true" indent="0" shrinkToFit="false"/>
      <protection locked="true" hidden="false"/>
    </xf>
    <xf numFmtId="202" fontId="44" fillId="0" borderId="0" xfId="53" applyFont="true" applyBorder="true" applyAlignment="true" applyProtection="true">
      <alignment horizontal="center" vertical="bottom" textRotation="0" wrapText="false" indent="0" shrinkToFit="false"/>
      <protection locked="true" hidden="false"/>
    </xf>
    <xf numFmtId="202" fontId="44" fillId="0" borderId="0" xfId="36" applyFont="true" applyBorder="false" applyAlignment="true" applyProtection="false">
      <alignment horizontal="center" vertical="bottom" textRotation="0" wrapText="false" indent="0" shrinkToFit="false"/>
      <protection locked="true" hidden="false"/>
    </xf>
    <xf numFmtId="167" fontId="64" fillId="0" borderId="0" xfId="36" applyFont="true" applyBorder="false" applyAlignment="true" applyProtection="false">
      <alignment horizontal="general" vertical="center" textRotation="0" wrapText="true" indent="0" shrinkToFit="false"/>
      <protection locked="true" hidden="false"/>
    </xf>
    <xf numFmtId="202" fontId="64" fillId="0" borderId="0" xfId="53" applyFont="true" applyBorder="true" applyAlignment="true" applyProtection="true">
      <alignment horizontal="center" vertical="bottom" textRotation="0" wrapText="false" indent="0" shrinkToFit="false"/>
      <protection locked="true" hidden="false"/>
    </xf>
    <xf numFmtId="202" fontId="64" fillId="0" borderId="0" xfId="36" applyFont="true" applyBorder="false" applyAlignment="true" applyProtection="false">
      <alignment horizontal="center" vertical="bottom" textRotation="0" wrapText="false" indent="0" shrinkToFit="false"/>
      <protection locked="true" hidden="false"/>
    </xf>
    <xf numFmtId="164" fontId="65" fillId="0" borderId="3" xfId="36" applyFont="true" applyBorder="true" applyAlignment="true" applyProtection="false">
      <alignment horizontal="center" vertical="bottom" textRotation="0" wrapText="false" indent="0" shrinkToFit="false"/>
      <protection locked="true" hidden="false"/>
    </xf>
    <xf numFmtId="164" fontId="65" fillId="0" borderId="4" xfId="36" applyFont="true" applyBorder="true" applyAlignment="true" applyProtection="false">
      <alignment horizontal="center" vertical="bottom" textRotation="0" wrapText="false" indent="0" shrinkToFit="false"/>
      <protection locked="true" hidden="false"/>
    </xf>
    <xf numFmtId="164" fontId="65" fillId="0" borderId="5" xfId="36" applyFont="true" applyBorder="true" applyAlignment="true" applyProtection="false">
      <alignment horizontal="center" vertical="bottom" textRotation="0" wrapText="false" indent="0" shrinkToFit="false"/>
      <protection locked="true" hidden="false"/>
    </xf>
    <xf numFmtId="187" fontId="27" fillId="0" borderId="6" xfId="53" applyFont="true" applyBorder="true" applyAlignment="true" applyProtection="true">
      <alignment horizontal="center" vertical="center" textRotation="0" wrapText="false" indent="0" shrinkToFit="false"/>
      <protection locked="true" hidden="false"/>
    </xf>
    <xf numFmtId="187" fontId="27" fillId="0" borderId="0" xfId="53" applyFont="true" applyBorder="true" applyAlignment="true" applyProtection="true">
      <alignment horizontal="center" vertical="center" textRotation="0" wrapText="false" indent="0" shrinkToFit="false"/>
      <protection locked="true" hidden="false"/>
    </xf>
    <xf numFmtId="187" fontId="27" fillId="0" borderId="7" xfId="53" applyFont="true" applyBorder="true" applyAlignment="true" applyProtection="true">
      <alignment horizontal="center" vertical="center" textRotation="0" wrapText="false" indent="0" shrinkToFit="false"/>
      <protection locked="true" hidden="false"/>
    </xf>
    <xf numFmtId="164" fontId="66" fillId="0" borderId="25" xfId="36" applyFont="true" applyBorder="true" applyAlignment="true" applyProtection="false">
      <alignment horizontal="center" vertical="bottom" textRotation="0" wrapText="true" indent="0" shrinkToFit="false"/>
      <protection locked="true" hidden="false"/>
    </xf>
    <xf numFmtId="164" fontId="18" fillId="21" borderId="1" xfId="36" applyFont="true" applyBorder="true" applyAlignment="true" applyProtection="false">
      <alignment horizontal="center" vertical="bottom" textRotation="0" wrapText="false" indent="0" shrinkToFit="false"/>
      <protection locked="true" hidden="false"/>
    </xf>
    <xf numFmtId="187" fontId="13" fillId="4" borderId="1" xfId="60" applyFont="true" applyBorder="true" applyAlignment="true" applyProtection="true">
      <alignment horizontal="center" vertical="bottom" textRotation="0" wrapText="false" indent="0" shrinkToFit="false"/>
      <protection locked="true" hidden="false"/>
    </xf>
    <xf numFmtId="164" fontId="18" fillId="8" borderId="1" xfId="36" applyFont="true" applyBorder="true" applyAlignment="true" applyProtection="false">
      <alignment horizontal="center" vertical="bottom" textRotation="0" wrapText="false" indent="0" shrinkToFit="false"/>
      <protection locked="true" hidden="false"/>
    </xf>
    <xf numFmtId="203" fontId="15" fillId="7" borderId="1" xfId="72" applyFont="true" applyBorder="true" applyAlignment="true" applyProtection="true">
      <alignment horizontal="center" vertical="center" textRotation="0" wrapText="false" indent="0" shrinkToFit="false"/>
      <protection locked="true" hidden="false"/>
    </xf>
    <xf numFmtId="164" fontId="5" fillId="0" borderId="0" xfId="36" applyFont="false" applyBorder="fals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left" vertical="center" textRotation="0" wrapText="false" indent="0" shrinkToFit="false"/>
      <protection locked="true" hidden="false"/>
    </xf>
    <xf numFmtId="164" fontId="7" fillId="0" borderId="0" xfId="36" applyFont="true" applyBorder="false" applyAlignment="true" applyProtection="false">
      <alignment horizontal="right" vertical="center" textRotation="0" wrapText="false" indent="0" shrinkToFit="false"/>
      <protection locked="true" hidden="false"/>
    </xf>
    <xf numFmtId="164" fontId="7" fillId="0" borderId="0" xfId="36" applyFont="true" applyBorder="false" applyAlignment="true" applyProtection="false">
      <alignment horizontal="left" vertical="center" textRotation="0" wrapText="false" indent="0" shrinkToFit="false"/>
      <protection locked="true" hidden="false"/>
    </xf>
    <xf numFmtId="164" fontId="12" fillId="0" borderId="3" xfId="36" applyFont="true" applyBorder="true" applyAlignment="true" applyProtection="false">
      <alignment horizontal="center" vertical="center" textRotation="0" wrapText="false" indent="0" shrinkToFit="false"/>
      <protection locked="true" hidden="false"/>
    </xf>
    <xf numFmtId="164" fontId="12" fillId="0" borderId="5" xfId="36" applyFont="true" applyBorder="true" applyAlignment="false" applyProtection="false">
      <alignment horizontal="general" vertical="bottom" textRotation="0" wrapText="false" indent="0" shrinkToFit="false"/>
      <protection locked="true" hidden="false"/>
    </xf>
    <xf numFmtId="164" fontId="12" fillId="0" borderId="6" xfId="36" applyFont="true" applyBorder="true" applyAlignment="true" applyProtection="false">
      <alignment horizontal="center" vertical="center" textRotation="0" wrapText="false" indent="0" shrinkToFit="false"/>
      <protection locked="true" hidden="false"/>
    </xf>
    <xf numFmtId="164" fontId="14" fillId="0" borderId="0" xfId="36" applyFont="true" applyBorder="false" applyAlignment="true" applyProtection="false">
      <alignment horizontal="general" vertical="center" textRotation="0" wrapText="false" indent="0" shrinkToFit="false"/>
      <protection locked="true" hidden="false"/>
    </xf>
    <xf numFmtId="164" fontId="12" fillId="0" borderId="7" xfId="36" applyFont="true" applyBorder="true" applyAlignment="false" applyProtection="false">
      <alignment horizontal="general" vertical="bottom" textRotation="0" wrapText="false" indent="0" shrinkToFit="false"/>
      <protection locked="true" hidden="false"/>
    </xf>
    <xf numFmtId="164" fontId="70" fillId="26" borderId="1" xfId="36" applyFont="true" applyBorder="true" applyAlignment="true" applyProtection="false">
      <alignment horizontal="center" vertical="center" textRotation="0" wrapText="false" indent="0" shrinkToFit="false"/>
      <protection locked="true" hidden="false"/>
    </xf>
    <xf numFmtId="164" fontId="70" fillId="26" borderId="1" xfId="36" applyFont="true" applyBorder="true" applyAlignment="true" applyProtection="false">
      <alignment horizontal="center" vertical="center" textRotation="0" wrapText="true" indent="0" shrinkToFit="false"/>
      <protection locked="true" hidden="false"/>
    </xf>
    <xf numFmtId="164" fontId="12" fillId="0" borderId="10" xfId="36" applyFont="true" applyBorder="true" applyAlignment="true" applyProtection="false">
      <alignment horizontal="center" vertical="center" textRotation="0" wrapText="false" indent="0" shrinkToFit="false"/>
      <protection locked="true" hidden="false"/>
    </xf>
    <xf numFmtId="164" fontId="12" fillId="0" borderId="12" xfId="36" applyFont="true" applyBorder="true" applyAlignment="false" applyProtection="false">
      <alignment horizontal="general" vertical="bottom" textRotation="0" wrapText="false" indent="0" shrinkToFit="false"/>
      <protection locked="true" hidden="false"/>
    </xf>
    <xf numFmtId="164" fontId="71" fillId="0" borderId="1" xfId="36" applyFont="true" applyBorder="true" applyAlignment="true" applyProtection="false">
      <alignment horizontal="center" vertical="center" textRotation="0" wrapText="true" indent="0" shrinkToFit="false"/>
      <protection locked="true" hidden="false"/>
    </xf>
    <xf numFmtId="164" fontId="44" fillId="0" borderId="0" xfId="36" applyFont="true" applyBorder="false" applyAlignment="true" applyProtection="false">
      <alignment horizontal="general" vertical="center" textRotation="0" wrapText="false" indent="0" shrinkToFit="false"/>
      <protection locked="true" hidden="false"/>
    </xf>
    <xf numFmtId="164" fontId="44" fillId="0" borderId="0" xfId="36" applyFont="true" applyBorder="false" applyAlignment="true" applyProtection="false">
      <alignment horizontal="center" vertical="center" textRotation="0" wrapText="false" indent="0" shrinkToFit="false"/>
      <protection locked="true" hidden="false"/>
    </xf>
    <xf numFmtId="164" fontId="5" fillId="6" borderId="1" xfId="36" applyFont="false" applyBorder="true" applyAlignment="true" applyProtection="false">
      <alignment horizontal="center" vertical="center" textRotation="0" wrapText="false" indent="0" shrinkToFit="false"/>
      <protection locked="true" hidden="false"/>
    </xf>
    <xf numFmtId="164" fontId="71" fillId="6" borderId="1" xfId="36" applyFont="true" applyBorder="true" applyAlignment="true" applyProtection="false">
      <alignment horizontal="center" vertical="center" textRotation="0" wrapText="true" indent="0" shrinkToFit="false"/>
      <protection locked="true" hidden="false"/>
    </xf>
    <xf numFmtId="164" fontId="44" fillId="0" borderId="13" xfId="36" applyFont="true" applyBorder="true" applyAlignment="true" applyProtection="false">
      <alignment horizontal="center" vertical="center" textRotation="0" wrapText="false" indent="0" shrinkToFit="false"/>
      <protection locked="true" hidden="false"/>
    </xf>
    <xf numFmtId="164" fontId="44" fillId="0" borderId="0" xfId="36" applyFont="true" applyBorder="true" applyAlignment="true" applyProtection="false">
      <alignment horizontal="center" vertical="center" textRotation="0" wrapText="false" indent="0" shrinkToFit="false"/>
      <protection locked="true" hidden="false"/>
    </xf>
    <xf numFmtId="164" fontId="71" fillId="0" borderId="16" xfId="36" applyFont="true" applyBorder="true" applyAlignment="true" applyProtection="false">
      <alignment horizontal="center" vertical="center" textRotation="0" wrapText="true" indent="0" shrinkToFit="false"/>
      <protection locked="true" hidden="false"/>
    </xf>
    <xf numFmtId="164" fontId="71" fillId="0" borderId="20" xfId="36" applyFont="true" applyBorder="true" applyAlignment="true" applyProtection="false">
      <alignment horizontal="center" vertical="center" textRotation="0" wrapText="true" indent="0" shrinkToFit="false"/>
      <protection locked="true" hidden="false"/>
    </xf>
    <xf numFmtId="164" fontId="71" fillId="0" borderId="8" xfId="36" applyFont="true" applyBorder="true" applyAlignment="true" applyProtection="false">
      <alignment horizontal="center" vertical="center" textRotation="0" wrapText="true" indent="0" shrinkToFit="false"/>
      <protection locked="true" hidden="false"/>
    </xf>
    <xf numFmtId="164" fontId="71" fillId="0" borderId="0" xfId="36" applyFont="true" applyBorder="false" applyAlignment="true" applyProtection="false">
      <alignment horizontal="center" vertical="center" textRotation="0" wrapText="true" indent="0" shrinkToFit="false"/>
      <protection locked="true" hidden="false"/>
    </xf>
    <xf numFmtId="164" fontId="72" fillId="0" borderId="0" xfId="36" applyFont="true" applyBorder="false" applyAlignment="true" applyProtection="false">
      <alignment horizontal="center" vertical="center" textRotation="0" wrapText="true" indent="0" shrinkToFit="false"/>
      <protection locked="true" hidden="false"/>
    </xf>
    <xf numFmtId="164" fontId="72" fillId="0" borderId="0" xfId="36" applyFont="true" applyBorder="true" applyAlignment="true" applyProtection="false">
      <alignment horizontal="center" vertical="center" textRotation="0" wrapText="true" indent="0" shrinkToFit="false"/>
      <protection locked="true" hidden="false"/>
    </xf>
    <xf numFmtId="164" fontId="72" fillId="0" borderId="0" xfId="36" applyFont="true" applyBorder="false" applyAlignment="true" applyProtection="false">
      <alignment horizontal="center" vertical="center" textRotation="0" wrapText="false" indent="0" shrinkToFit="false"/>
      <protection locked="true" hidden="false"/>
    </xf>
    <xf numFmtId="164" fontId="71" fillId="0" borderId="0" xfId="36" applyFont="true" applyBorder="false" applyAlignment="true" applyProtection="false">
      <alignment horizontal="general" vertical="top" textRotation="0" wrapText="true" indent="0" shrinkToFit="false"/>
      <protection locked="true" hidden="false"/>
    </xf>
    <xf numFmtId="164" fontId="71" fillId="0" borderId="1" xfId="36" applyFont="true" applyBorder="true" applyAlignment="true" applyProtection="false">
      <alignment horizontal="center" vertical="center" textRotation="0" wrapText="false" indent="0" shrinkToFit="false"/>
      <protection locked="true" hidden="false"/>
    </xf>
    <xf numFmtId="164" fontId="5" fillId="0" borderId="1" xfId="36" applyFont="true" applyBorder="true" applyAlignment="true" applyProtection="false">
      <alignment horizontal="center" vertical="bottom" textRotation="0" wrapText="false" indent="0" shrinkToFit="false"/>
      <protection locked="true" hidden="false"/>
    </xf>
    <xf numFmtId="164" fontId="71" fillId="0" borderId="1" xfId="0" applyFont="true" applyBorder="true" applyAlignment="true" applyProtection="false">
      <alignment horizontal="general" vertical="top" textRotation="0" wrapText="true" indent="0" shrinkToFit="false"/>
      <protection locked="true" hidden="false"/>
    </xf>
    <xf numFmtId="187" fontId="5" fillId="0" borderId="1" xfId="36" applyFont="false" applyBorder="true" applyAlignment="true" applyProtection="false">
      <alignment horizontal="center" vertical="bottom" textRotation="0" wrapText="false" indent="0" shrinkToFit="false"/>
      <protection locked="true" hidden="false"/>
    </xf>
    <xf numFmtId="173" fontId="5" fillId="0" borderId="1" xfId="36" applyFont="false" applyBorder="true" applyAlignment="false" applyProtection="false">
      <alignment horizontal="general" vertical="bottom" textRotation="0" wrapText="false" indent="0" shrinkToFit="false"/>
      <protection locked="true" hidden="false"/>
    </xf>
    <xf numFmtId="164" fontId="71" fillId="0" borderId="1" xfId="0" applyFont="true" applyBorder="true" applyAlignment="true" applyProtection="false">
      <alignment horizontal="left" vertical="center" textRotation="0" wrapText="true" indent="0" shrinkToFit="false"/>
      <protection locked="true" hidden="false"/>
    </xf>
    <xf numFmtId="164" fontId="71" fillId="0" borderId="1" xfId="0" applyFont="true" applyBorder="true" applyAlignment="true" applyProtection="false">
      <alignment horizontal="left" vertical="top" textRotation="0" wrapText="true" indent="0" shrinkToFit="false"/>
      <protection locked="true" hidden="false"/>
    </xf>
    <xf numFmtId="204" fontId="5" fillId="0" borderId="1" xfId="36" applyFont="false" applyBorder="true" applyAlignment="true" applyProtection="false">
      <alignment horizontal="center" vertical="bottom" textRotation="0" wrapText="false" indent="0" shrinkToFit="false"/>
      <protection locked="true" hidden="false"/>
    </xf>
    <xf numFmtId="164" fontId="71" fillId="0" borderId="0" xfId="36" applyFont="true" applyBorder="false" applyAlignment="true" applyProtection="false">
      <alignment horizontal="left" vertical="top" textRotation="0" wrapText="true" indent="0" shrinkToFit="false"/>
      <protection locked="true" hidden="false"/>
    </xf>
    <xf numFmtId="205" fontId="5" fillId="0" borderId="0" xfId="36" applyFont="false" applyBorder="false" applyAlignment="true" applyProtection="false">
      <alignment horizontal="center" vertical="bottom" textRotation="0" wrapText="false" indent="0" shrinkToFit="false"/>
      <protection locked="true" hidden="false"/>
    </xf>
    <xf numFmtId="187" fontId="5" fillId="0" borderId="0" xfId="36" applyFont="false" applyBorder="false" applyAlignment="true" applyProtection="false">
      <alignment horizontal="center" vertical="bottom" textRotation="0" wrapText="false" indent="0" shrinkToFit="false"/>
      <protection locked="true" hidden="false"/>
    </xf>
    <xf numFmtId="173" fontId="5" fillId="0" borderId="0" xfId="36" applyFont="false" applyBorder="false" applyAlignment="false" applyProtection="false">
      <alignment horizontal="general" vertical="bottom" textRotation="0" wrapText="false" indent="0" shrinkToFit="false"/>
      <protection locked="true" hidden="false"/>
    </xf>
    <xf numFmtId="164" fontId="5" fillId="0" borderId="1" xfId="36" applyFont="true" applyBorder="true" applyAlignment="false" applyProtection="false">
      <alignment horizontal="general" vertical="bottom" textRotation="0" wrapText="false" indent="0" shrinkToFit="false"/>
      <protection locked="true" hidden="false"/>
    </xf>
    <xf numFmtId="167" fontId="5" fillId="0" borderId="1" xfId="49" applyFont="true" applyBorder="true" applyAlignment="true" applyProtection="true">
      <alignment horizontal="center" vertical="bottom" textRotation="0" wrapText="false" indent="0" shrinkToFit="false"/>
      <protection locked="true" hidden="false"/>
    </xf>
    <xf numFmtId="172" fontId="15" fillId="7" borderId="1" xfId="72" applyFont="true" applyBorder="true" applyAlignment="true" applyProtection="true">
      <alignment horizontal="center" vertical="center" textRotation="0" wrapText="false" indent="0" shrinkToFit="false"/>
      <protection locked="true" hidden="false"/>
    </xf>
    <xf numFmtId="167" fontId="5" fillId="0" borderId="1" xfId="36" applyFont="false" applyBorder="true" applyAlignment="true" applyProtection="false">
      <alignment horizontal="center" vertical="bottom" textRotation="0" wrapText="false" indent="0" shrinkToFit="false"/>
      <protection locked="true" hidden="false"/>
    </xf>
    <xf numFmtId="206" fontId="15" fillId="7" borderId="1" xfId="72" applyFont="true" applyBorder="true" applyAlignment="true" applyProtection="true">
      <alignment horizontal="center"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3" fillId="0" borderId="0" xfId="0" applyFont="true" applyBorder="false" applyAlignment="true" applyProtection="false">
      <alignment horizontal="center" vertical="bottom" textRotation="0" wrapText="false" indent="0" shrinkToFit="false"/>
      <protection locked="true" hidden="false"/>
    </xf>
    <xf numFmtId="173" fontId="22" fillId="2" borderId="0" xfId="0" applyFont="true" applyBorder="false" applyAlignment="true" applyProtection="false">
      <alignment horizontal="center" vertical="center" textRotation="0" wrapText="false" indent="0" shrinkToFit="false"/>
      <protection locked="true" hidden="false"/>
    </xf>
    <xf numFmtId="164" fontId="73" fillId="2" borderId="1" xfId="0" applyFont="true" applyBorder="true" applyAlignment="true" applyProtection="false">
      <alignment horizontal="center" vertical="center" textRotation="0" wrapText="true" indent="0" shrinkToFit="false"/>
      <protection locked="true" hidden="false"/>
    </xf>
    <xf numFmtId="164" fontId="73" fillId="2" borderId="1" xfId="0" applyFont="true" applyBorder="true" applyAlignment="true" applyProtection="false">
      <alignment horizontal="center" vertical="center" textRotation="0" wrapText="false" indent="0" shrinkToFit="false"/>
      <protection locked="true" hidden="false"/>
    </xf>
    <xf numFmtId="173" fontId="73" fillId="2" borderId="1" xfId="0" applyFont="true" applyBorder="true" applyAlignment="true" applyProtection="false">
      <alignment horizontal="center" vertical="center" textRotation="0" wrapText="false" indent="0" shrinkToFit="false"/>
      <protection locked="true" hidden="false"/>
    </xf>
    <xf numFmtId="164" fontId="73" fillId="2" borderId="16" xfId="0" applyFont="true" applyBorder="true" applyAlignment="true" applyProtection="false">
      <alignment horizontal="center" vertical="center" textRotation="0" wrapText="false" indent="0" shrinkToFit="false"/>
      <protection locked="true" hidden="false"/>
    </xf>
    <xf numFmtId="164" fontId="24" fillId="2" borderId="16" xfId="34" applyFont="true" applyBorder="true" applyAlignment="true" applyProtection="false">
      <alignment horizontal="center" vertical="center" textRotation="0" wrapText="false" indent="0" shrinkToFit="false"/>
      <protection locked="true" hidden="false"/>
    </xf>
    <xf numFmtId="164" fontId="74" fillId="0" borderId="1" xfId="0" applyFont="true" applyBorder="true" applyAlignment="true" applyProtection="false">
      <alignment horizontal="center" vertical="bottom" textRotation="0" wrapText="false" indent="0" shrinkToFit="false"/>
      <protection locked="true" hidden="false"/>
    </xf>
    <xf numFmtId="202" fontId="22" fillId="2" borderId="1" xfId="0" applyFont="true" applyBorder="true" applyAlignment="true" applyProtection="false">
      <alignment horizontal="center" vertical="center" textRotation="0" wrapText="false" indent="0" shrinkToFit="false"/>
      <protection locked="true" hidden="false"/>
    </xf>
    <xf numFmtId="187" fontId="22" fillId="2" borderId="1" xfId="49" applyFont="true" applyBorder="true" applyAlignment="true" applyProtection="true">
      <alignment horizontal="center" vertical="center" textRotation="0" wrapText="false" indent="0" shrinkToFit="false"/>
      <protection locked="true" hidden="false"/>
    </xf>
    <xf numFmtId="207" fontId="22" fillId="2" borderId="1" xfId="36"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true" indent="0" shrinkToFit="false"/>
      <protection locked="true" hidden="false"/>
    </xf>
    <xf numFmtId="164" fontId="22" fillId="2" borderId="1" xfId="34" applyFont="true" applyBorder="true" applyAlignment="true" applyProtection="false">
      <alignment horizontal="center" vertical="bottom" textRotation="0" wrapText="true" indent="0" shrinkToFit="false"/>
      <protection locked="true" hidden="false"/>
    </xf>
    <xf numFmtId="164" fontId="74" fillId="0" borderId="1" xfId="0" applyFont="true" applyBorder="true" applyAlignment="true" applyProtection="false">
      <alignment horizontal="center" vertical="center" textRotation="0" wrapText="false" indent="0" shrinkToFit="false"/>
      <protection locked="true" hidden="false"/>
    </xf>
    <xf numFmtId="164" fontId="22" fillId="2" borderId="1" xfId="34" applyFont="true" applyBorder="true" applyAlignment="true" applyProtection="false">
      <alignment horizontal="center" vertical="center" textRotation="0" wrapText="false" indent="0" shrinkToFit="false"/>
      <protection locked="true" hidden="false"/>
    </xf>
    <xf numFmtId="164" fontId="42" fillId="0" borderId="0" xfId="0" applyFont="true" applyBorder="false" applyAlignment="true" applyProtection="false">
      <alignment horizontal="center" vertical="center" textRotation="0" wrapText="false" indent="0" shrinkToFit="false"/>
      <protection locked="true" hidden="false"/>
    </xf>
    <xf numFmtId="164" fontId="42" fillId="2" borderId="0" xfId="0" applyFont="true" applyBorder="false" applyAlignment="false" applyProtection="false">
      <alignment horizontal="general" vertical="bottom" textRotation="0" wrapText="false" indent="0" shrinkToFit="false"/>
      <protection locked="true" hidden="false"/>
    </xf>
    <xf numFmtId="165" fontId="5" fillId="6" borderId="1" xfId="21" applyFont="true" applyBorder="true" applyAlignment="true" applyProtection="true">
      <alignment horizontal="general" vertical="bottom" textRotation="0" wrapText="false" indent="0" shrinkToFit="false"/>
      <protection locked="false" hidden="false"/>
    </xf>
    <xf numFmtId="165" fontId="5" fillId="2" borderId="0" xfId="21" applyFont="true" applyBorder="true" applyAlignment="true" applyProtection="true">
      <alignment horizontal="general" vertical="bottom" textRotation="0" wrapText="false" indent="0" shrinkToFit="false"/>
      <protection locked="false" hidden="false"/>
    </xf>
    <xf numFmtId="165" fontId="5" fillId="2" borderId="0" xfId="17" applyFont="true" applyBorder="true" applyAlignment="true" applyProtection="true">
      <alignment horizontal="general" vertical="bottom" textRotation="0" wrapText="false" indent="0" shrinkToFit="false"/>
      <protection locked="true" hidden="false"/>
    </xf>
    <xf numFmtId="164" fontId="42" fillId="2" borderId="0" xfId="0" applyFont="true" applyBorder="false" applyAlignment="true" applyProtection="false">
      <alignment horizontal="right" vertical="bottom" textRotation="0" wrapText="false" indent="0" shrinkToFit="false"/>
      <protection locked="true" hidden="false"/>
    </xf>
    <xf numFmtId="165" fontId="5" fillId="7" borderId="1" xfId="17" applyFont="true" applyBorder="tru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5" fontId="5" fillId="6" borderId="1" xfId="17" applyFont="true" applyBorder="true" applyAlignment="true" applyProtection="true">
      <alignment horizontal="general" vertical="bottom" textRotation="0" wrapText="false" indent="0" shrinkToFit="false"/>
      <protection locked="true" hidden="false"/>
    </xf>
    <xf numFmtId="165" fontId="5" fillId="27" borderId="1" xfId="17" applyFont="true" applyBorder="true" applyAlignment="true" applyProtection="tru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2" fillId="0" borderId="1" xfId="0" applyFont="true" applyBorder="true" applyAlignment="true" applyProtection="false">
      <alignment horizontal="right" vertical="bottom" textRotation="0" wrapText="false" indent="0" shrinkToFit="false"/>
      <protection locked="true" hidden="false"/>
    </xf>
    <xf numFmtId="165" fontId="42" fillId="7" borderId="1" xfId="17" applyFont="true" applyBorder="true" applyAlignment="true" applyProtection="true">
      <alignment horizontal="general" vertical="bottom" textRotation="0" wrapText="false" indent="0" shrinkToFit="false"/>
      <protection locked="true" hidden="false"/>
    </xf>
  </cellXfs>
  <cellStyles count="80">
    <cellStyle name="Normal" xfId="0" builtinId="0"/>
    <cellStyle name="Comma" xfId="15" builtinId="3"/>
    <cellStyle name="Comma [0]" xfId="16" builtinId="6"/>
    <cellStyle name="Currency" xfId="17" builtinId="4"/>
    <cellStyle name="Currency [0]" xfId="18" builtinId="7"/>
    <cellStyle name="Percent" xfId="19" builtinId="5"/>
    <cellStyle name="Moeda 2" xfId="21"/>
    <cellStyle name="Moeda 2 2" xfId="22"/>
    <cellStyle name="Moeda 2 2 2" xfId="23"/>
    <cellStyle name="Moeda 2 3" xfId="24"/>
    <cellStyle name="Moeda 2 3 2" xfId="25"/>
    <cellStyle name="Moeda 2 4" xfId="26"/>
    <cellStyle name="Moeda 3" xfId="27"/>
    <cellStyle name="Moeda 3 2" xfId="28"/>
    <cellStyle name="Moeda 4" xfId="29"/>
    <cellStyle name="Moeda 4 2" xfId="30"/>
    <cellStyle name="Moeda 5" xfId="31"/>
    <cellStyle name="Moeda 5 2" xfId="32"/>
    <cellStyle name="Moeda 6" xfId="33"/>
    <cellStyle name="Normal 2" xfId="34"/>
    <cellStyle name="Normal 2 2" xfId="35"/>
    <cellStyle name="Normal 2 2 2" xfId="36"/>
    <cellStyle name="Normal 2 2 2 2" xfId="37"/>
    <cellStyle name="Normal 2 2 3" xfId="38"/>
    <cellStyle name="Normal 2 3" xfId="39"/>
    <cellStyle name="Normal 3" xfId="40"/>
    <cellStyle name="Normal 3 2" xfId="41"/>
    <cellStyle name="Normal 3 2 2" xfId="42"/>
    <cellStyle name="Normal 3 3" xfId="43"/>
    <cellStyle name="Normal 4" xfId="44"/>
    <cellStyle name="Normal 4 2" xfId="45"/>
    <cellStyle name="Normal 5" xfId="46"/>
    <cellStyle name="Normal 6" xfId="47"/>
    <cellStyle name="Porcentagem 10" xfId="48"/>
    <cellStyle name="Porcentagem 2" xfId="49"/>
    <cellStyle name="Porcentagem 2 2" xfId="50"/>
    <cellStyle name="Porcentagem 2 2 2" xfId="51"/>
    <cellStyle name="Porcentagem 2 3" xfId="52"/>
    <cellStyle name="Porcentagem 3" xfId="53"/>
    <cellStyle name="Porcentagem 3 2" xfId="54"/>
    <cellStyle name="Porcentagem 3 2 2" xfId="55"/>
    <cellStyle name="Porcentagem 3 3" xfId="56"/>
    <cellStyle name="Porcentagem 4" xfId="57"/>
    <cellStyle name="Porcentagem 4 2" xfId="58"/>
    <cellStyle name="Porcentagem 5" xfId="59"/>
    <cellStyle name="Porcentagem 5 2" xfId="60"/>
    <cellStyle name="Porcentagem 5 2 2" xfId="61"/>
    <cellStyle name="Porcentagem 5 3" xfId="62"/>
    <cellStyle name="Porcentagem 6" xfId="63"/>
    <cellStyle name="Porcentagem 6 2" xfId="64"/>
    <cellStyle name="Porcentagem 7" xfId="65"/>
    <cellStyle name="Porcentagem 7 2" xfId="66"/>
    <cellStyle name="Porcentagem 8" xfId="67"/>
    <cellStyle name="Porcentagem 8 2" xfId="68"/>
    <cellStyle name="Porcentagem 9" xfId="69"/>
    <cellStyle name="Porcentagem 9 2" xfId="70"/>
    <cellStyle name="Vírgula 10" xfId="71"/>
    <cellStyle name="Vírgula 2" xfId="72"/>
    <cellStyle name="Vírgula 2 2" xfId="73"/>
    <cellStyle name="Vírgula 2 2 2" xfId="74"/>
    <cellStyle name="Vírgula 2 3" xfId="75"/>
    <cellStyle name="Vírgula 3" xfId="76"/>
    <cellStyle name="Vírgula 3 2" xfId="77"/>
    <cellStyle name="Vírgula 4" xfId="78"/>
    <cellStyle name="Vírgula 4 2" xfId="79"/>
    <cellStyle name="Vírgula 5" xfId="80"/>
    <cellStyle name="Vírgula 5 2" xfId="81"/>
    <cellStyle name="Vírgula 5 2 2" xfId="82"/>
    <cellStyle name="Vírgula 5 3" xfId="83"/>
    <cellStyle name="Vírgula 5 3 2" xfId="84"/>
    <cellStyle name="Vírgula 5 4" xfId="85"/>
    <cellStyle name="Vírgula 6" xfId="86"/>
    <cellStyle name="Vírgula 6 2" xfId="87"/>
    <cellStyle name="Vírgula 7" xfId="88"/>
    <cellStyle name="Vírgula 7 2" xfId="89"/>
    <cellStyle name="Vírgula 8" xfId="90"/>
    <cellStyle name="Vírgula 8 2" xfId="91"/>
    <cellStyle name="Vírgula 9" xfId="92"/>
    <cellStyle name="Vírgula 9 2" xfId="93"/>
    <cellStyle name="*unknown*" xfId="20" builtinId="8"/>
  </cellStyles>
  <dxfs count="12">
    <dxf>
      <fill>
        <patternFill>
          <bgColor rgb="FFE6E0EC"/>
        </patternFill>
      </fill>
    </dxf>
    <dxf>
      <fill>
        <patternFill>
          <bgColor rgb="FFEBF1DE"/>
        </patternFill>
      </fill>
    </dxf>
    <dxf>
      <fill>
        <patternFill>
          <bgColor rgb="FFF2DCDB"/>
        </patternFill>
      </fill>
    </dxf>
    <dxf>
      <fill>
        <patternFill>
          <bgColor rgb="FFDBEEF4"/>
        </patternFill>
      </fill>
    </dxf>
    <dxf>
      <fill>
        <patternFill>
          <bgColor rgb="FFCCC1DA"/>
        </patternFill>
      </fill>
    </dxf>
    <dxf>
      <fill>
        <patternFill>
          <bgColor rgb="FFD7E4BD"/>
        </patternFill>
      </fill>
    </dxf>
    <dxf>
      <fill>
        <patternFill>
          <bgColor rgb="FFE6B9B8"/>
        </patternFill>
      </fill>
    </dxf>
    <dxf>
      <fill>
        <patternFill>
          <bgColor rgb="FFB7DEE8"/>
        </patternFill>
      </fill>
    </dxf>
    <dxf>
      <fill>
        <patternFill>
          <bgColor rgb="FFB3A2C7"/>
        </patternFill>
      </fill>
    </dxf>
    <dxf>
      <fill>
        <patternFill>
          <bgColor rgb="FFC3D69B"/>
        </patternFill>
      </fill>
    </dxf>
    <dxf>
      <fill>
        <patternFill>
          <bgColor rgb="FFE6B9B8"/>
        </patternFill>
      </fill>
    </dxf>
    <dxf>
      <fill>
        <patternFill>
          <bgColor rgb="FF93CDDD"/>
        </patternFill>
      </fill>
    </dxf>
  </dxfs>
  <colors>
    <indexedColors>
      <rgbColor rgb="FF000000"/>
      <rgbColor rgb="FFFFFFFF"/>
      <rgbColor rgb="FFFF0000"/>
      <rgbColor rgb="FFF2F2F2"/>
      <rgbColor rgb="FF0000FF"/>
      <rgbColor rgb="FFFFFF00"/>
      <rgbColor rgb="FFFF00FF"/>
      <rgbColor rgb="FFB7DEE8"/>
      <rgbColor rgb="FF800000"/>
      <rgbColor rgb="FF008000"/>
      <rgbColor rgb="FF000080"/>
      <rgbColor rgb="FF77933C"/>
      <rgbColor rgb="FF800080"/>
      <rgbColor rgb="FF008080"/>
      <rgbColor rgb="FFC0C0C0"/>
      <rgbColor rgb="FF878787"/>
      <rgbColor rgb="FF8EB4E3"/>
      <rgbColor rgb="FF993366"/>
      <rgbColor rgb="FFEBF1DE"/>
      <rgbColor rgb="FFDBEEF4"/>
      <rgbColor rgb="FF660066"/>
      <rgbColor rgb="FFCCC1DA"/>
      <rgbColor rgb="FF0066CC"/>
      <rgbColor rgb="FFB9CDE5"/>
      <rgbColor rgb="FF000080"/>
      <rgbColor rgb="FFFF00FF"/>
      <rgbColor rgb="FFF2DCDB"/>
      <rgbColor rgb="FFE6E0EC"/>
      <rgbColor rgb="FF800080"/>
      <rgbColor rgb="FF800000"/>
      <rgbColor rgb="FF008080"/>
      <rgbColor rgb="FF0000FF"/>
      <rgbColor rgb="FF95B3D7"/>
      <rgbColor rgb="FFDCE6F2"/>
      <rgbColor rgb="FFD7E4BD"/>
      <rgbColor rgb="FFFDEADA"/>
      <rgbColor rgb="FF99CCFF"/>
      <rgbColor rgb="FFE6B9B8"/>
      <rgbColor rgb="FFB3A2C7"/>
      <rgbColor rgb="FFFAC090"/>
      <rgbColor rgb="FF4F81BD"/>
      <rgbColor rgb="FF93CDDD"/>
      <rgbColor rgb="FFC3D69B"/>
      <rgbColor rgb="FFFCD5B5"/>
      <rgbColor rgb="FFD9D9D9"/>
      <rgbColor rgb="FFE46C0A"/>
      <rgbColor rgb="FF376092"/>
      <rgbColor rgb="FFA6A6A6"/>
      <rgbColor rgb="FF002060"/>
      <rgbColor rgb="FF558ED5"/>
      <rgbColor rgb="FF003300"/>
      <rgbColor rgb="FF4F6228"/>
      <rgbColor rgb="FF993300"/>
      <rgbColor rgb="FF993366"/>
      <rgbColor rgb="FF1F497D"/>
      <rgbColor rgb="FF25406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43195139000914"/>
          <c:y val="0.0463442069741282"/>
          <c:w val="0.662741302360596"/>
          <c:h val="0.752643419572553"/>
        </c:manualLayout>
      </c:layout>
      <c:scatterChart>
        <c:scatterStyle val="lineMarker"/>
        <c:varyColors val="0"/>
        <c:ser>
          <c:idx val="0"/>
          <c:order val="0"/>
          <c:tx>
            <c:strRef>
              <c:f>label 0</c:f>
              <c:strCache>
                <c:ptCount val="1"/>
                <c:pt idx="0">
                  <c:v>Nível de Segurança 95%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1</c:f>
              <c:numCache>
                <c:formatCode>General</c:formatCode>
                <c:ptCount val="3"/>
                <c:pt idx="0">
                  <c:v>1</c:v>
                </c:pt>
              </c:numCache>
            </c:numRef>
          </c:xVal>
          <c:yVal>
            <c:numRef>
              <c:f>0</c:f>
              <c:numCache>
                <c:formatCode>General</c:formatCode>
                <c:ptCount val="3"/>
                <c:pt idx="0">
                  <c:v>0.0502</c:v>
                </c:pt>
                <c:pt idx="1">
                  <c:v>0.0731</c:v>
                </c:pt>
                <c:pt idx="2">
                  <c:v>0.12</c:v>
                </c:pt>
              </c:numCache>
            </c:numRef>
          </c:yVal>
          <c:smooth val="0"/>
        </c:ser>
        <c:ser>
          <c:idx val="1"/>
          <c:order val="1"/>
          <c:tx>
            <c:strRef>
              <c:f>label 2</c:f>
              <c:strCache>
                <c:ptCount val="1"/>
                <c:pt idx="0">
                  <c:v>Nível de Segurança 90%</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3</c:f>
              <c:numCache>
                <c:formatCode>General</c:formatCode>
                <c:ptCount val="3"/>
                <c:pt idx="0">
                  <c:v>1</c:v>
                </c:pt>
              </c:numCache>
            </c:numRef>
          </c:xVal>
          <c:yVal>
            <c:numRef>
              <c:f>2</c:f>
              <c:numCache>
                <c:formatCode>General</c:formatCode>
                <c:ptCount val="3"/>
                <c:pt idx="0">
                  <c:v>0.0393</c:v>
                </c:pt>
                <c:pt idx="1">
                  <c:v>0.0571</c:v>
                </c:pt>
                <c:pt idx="2">
                  <c:v>0.0938</c:v>
                </c:pt>
              </c:numCache>
            </c:numRef>
          </c:yVal>
          <c:smooth val="0"/>
        </c:ser>
        <c:ser>
          <c:idx val="2"/>
          <c:order val="2"/>
          <c:tx>
            <c:strRef>
              <c:f>label 4</c:f>
              <c:strCache>
                <c:ptCount val="1"/>
                <c:pt idx="0">
                  <c:v>Nível de Segurança 85%</c:v>
                </c:pt>
              </c:strCache>
            </c:strRef>
          </c:tx>
          <c:spPr>
            <a:solidFill>
              <a:srgbClr val="99ccff"/>
            </a:solidFill>
            <a:ln w="28440">
              <a:noFill/>
            </a:ln>
          </c:spPr>
          <c:dLbls>
            <c:txPr>
              <a:bodyPr wrap="square"/>
              <a:lstStyle/>
              <a:p>
                <a:pPr>
                  <a:defRPr b="0" sz="1000" spc="-1" strike="noStrike">
                    <a:solidFill>
                      <a:srgbClr val="000000"/>
                    </a:solidFill>
                    <a:latin typeface="Calibri"/>
                    <a:ea typeface="Calibri"/>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xVal>
            <c:numRef>
              <c:f>5</c:f>
              <c:numCache>
                <c:formatCode>General</c:formatCode>
                <c:ptCount val="3"/>
                <c:pt idx="0">
                  <c:v>1</c:v>
                </c:pt>
              </c:numCache>
            </c:numRef>
          </c:xVal>
          <c:yVal>
            <c:numRef>
              <c:f>4</c:f>
              <c:numCache>
                <c:formatCode>General</c:formatCode>
                <c:ptCount val="3"/>
                <c:pt idx="0">
                  <c:v>0.0315</c:v>
                </c:pt>
                <c:pt idx="1">
                  <c:v>0.0458</c:v>
                </c:pt>
                <c:pt idx="2">
                  <c:v>0.0753</c:v>
                </c:pt>
              </c:numCache>
            </c:numRef>
          </c:yVal>
          <c:smooth val="0"/>
        </c:ser>
        <c:axId val="15789541"/>
        <c:axId val="25340622"/>
      </c:scatterChart>
      <c:valAx>
        <c:axId val="15789541"/>
        <c:scaling>
          <c:orientation val="minMax"/>
        </c:scaling>
        <c:delete val="0"/>
        <c:axPos val="b"/>
        <c:title>
          <c:tx>
            <c:rich>
              <a:bodyPr rot="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Risco a ser assumido (%)</a:t>
                </a:r>
              </a:p>
            </c:rich>
          </c:tx>
          <c:layout>
            <c:manualLayout>
              <c:xMode val="edge"/>
              <c:yMode val="edge"/>
              <c:x val="0.375114265741786"/>
              <c:y val="0.902924634420697"/>
            </c:manualLayout>
          </c:layout>
          <c:overlay val="0"/>
          <c:spPr>
            <a:noFill/>
            <a:ln w="0">
              <a:noFill/>
            </a:ln>
          </c:spPr>
        </c:title>
        <c:numFmt formatCode="General"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25340622"/>
        <c:crosses val="autoZero"/>
        <c:crossBetween val="midCat"/>
      </c:valAx>
      <c:valAx>
        <c:axId val="25340622"/>
        <c:scaling>
          <c:orientation val="minMax"/>
          <c:max val="0.15"/>
          <c:min val="0"/>
        </c:scaling>
        <c:delete val="0"/>
        <c:axPos val="l"/>
        <c:majorGridlines>
          <c:spPr>
            <a:ln w="9360">
              <a:solidFill>
                <a:srgbClr val="878787"/>
              </a:solidFill>
              <a:round/>
            </a:ln>
          </c:spPr>
        </c:majorGridlines>
        <c:title>
          <c:tx>
            <c:rich>
              <a:bodyPr rot="-5400000"/>
              <a:lstStyle/>
              <a:p>
                <a:pPr>
                  <a:defRPr b="1" lang="pt-BR" sz="1000" spc="-1" strike="noStrike">
                    <a:solidFill>
                      <a:srgbClr val="000000"/>
                    </a:solidFill>
                    <a:latin typeface="Calibri"/>
                    <a:ea typeface="Calibri"/>
                  </a:defRPr>
                </a:pPr>
                <a:r>
                  <a:rPr b="1" lang="pt-BR" sz="1000" spc="-1" strike="noStrike">
                    <a:solidFill>
                      <a:srgbClr val="000000"/>
                    </a:solidFill>
                    <a:latin typeface="Calibri"/>
                    <a:ea typeface="Calibri"/>
                  </a:rPr>
                  <a:t>Coeficiente do RPS (Ɣ)</a:t>
                </a:r>
              </a:p>
            </c:rich>
          </c:tx>
          <c:overlay val="0"/>
          <c:spPr>
            <a:noFill/>
            <a:ln w="0">
              <a:noFill/>
            </a:ln>
          </c:spPr>
        </c:title>
        <c:numFmt formatCode="0.000" sourceLinked="0"/>
        <c:majorTickMark val="out"/>
        <c:minorTickMark val="none"/>
        <c:tickLblPos val="nextTo"/>
        <c:spPr>
          <a:ln w="9360">
            <a:solidFill>
              <a:srgbClr val="878787"/>
            </a:solidFill>
            <a:round/>
          </a:ln>
        </c:spPr>
        <c:txPr>
          <a:bodyPr/>
          <a:lstStyle/>
          <a:p>
            <a:pPr>
              <a:defRPr b="0" sz="1000" spc="-1" strike="noStrike">
                <a:solidFill>
                  <a:srgbClr val="000000"/>
                </a:solidFill>
                <a:latin typeface="Calibri"/>
                <a:ea typeface="Calibri"/>
              </a:defRPr>
            </a:pPr>
          </a:p>
        </c:txPr>
        <c:crossAx val="15789541"/>
        <c:crosses val="autoZero"/>
        <c:crossBetween val="midCat"/>
      </c:valAx>
      <c:spPr>
        <a:noFill/>
        <a:ln w="0">
          <a:noFill/>
        </a:ln>
      </c:spPr>
    </c:plotArea>
    <c:legend>
      <c:legendPos val="r"/>
      <c:layout>
        <c:manualLayout>
          <c:xMode val="edge"/>
          <c:yMode val="edge"/>
          <c:x val="0.807233532745344"/>
          <c:y val="0.309022309711286"/>
          <c:w val="0.183817833581613"/>
          <c:h val="0.371463879515061"/>
        </c:manualLayout>
      </c:layout>
      <c:overlay val="0"/>
      <c:spPr>
        <a:noFill/>
        <a:ln w="0">
          <a:noFill/>
        </a:ln>
      </c:spPr>
      <c:txPr>
        <a:bodyPr/>
        <a:lstStyle/>
        <a:p>
          <a:pPr>
            <a:defRPr b="0" sz="255" spc="-1" strike="noStrike">
              <a:solidFill>
                <a:srgbClr val="000000"/>
              </a:solidFill>
              <a:latin typeface="Calibri"/>
              <a:ea typeface="Calibri"/>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_rels/drawing2.xml.rels><?xml version="1.0" encoding="UTF-8"?>
<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523800</xdr:colOff>
      <xdr:row>0</xdr:row>
      <xdr:rowOff>28440</xdr:rowOff>
    </xdr:from>
    <xdr:to>
      <xdr:col>19</xdr:col>
      <xdr:colOff>256680</xdr:colOff>
      <xdr:row>29</xdr:row>
      <xdr:rowOff>151920</xdr:rowOff>
    </xdr:to>
    <xdr:pic>
      <xdr:nvPicPr>
        <xdr:cNvPr id="0" name="Imagem 2" descr=""/>
        <xdr:cNvPicPr/>
      </xdr:nvPicPr>
      <xdr:blipFill>
        <a:blip r:embed="rId1"/>
        <a:stretch/>
      </xdr:blipFill>
      <xdr:spPr>
        <a:xfrm>
          <a:off x="10345320" y="28440"/>
          <a:ext cx="4567680" cy="59241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295200</xdr:colOff>
      <xdr:row>7</xdr:row>
      <xdr:rowOff>9360</xdr:rowOff>
    </xdr:from>
    <xdr:to>
      <xdr:col>8</xdr:col>
      <xdr:colOff>580680</xdr:colOff>
      <xdr:row>25</xdr:row>
      <xdr:rowOff>47160</xdr:rowOff>
    </xdr:to>
    <xdr:graphicFrame>
      <xdr:nvGraphicFramePr>
        <xdr:cNvPr id="1" name="Gráfico 1"/>
        <xdr:cNvGraphicFramePr/>
      </xdr:nvGraphicFramePr>
      <xdr:xfrm>
        <a:off x="295200" y="1209600"/>
        <a:ext cx="6694560" cy="3200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815040</xdr:colOff>
          <xdr:row>24</xdr:row>
          <xdr:rowOff>95400</xdr:rowOff>
        </xdr:from>
        <xdr:to>
          <xdr:col>1</xdr:col>
          <xdr:colOff>-49320</xdr:colOff>
          <xdr:row>25</xdr:row>
          <xdr:rowOff>95040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20</xdr:col>
          <xdr:colOff>651960</xdr:colOff>
          <xdr:row>10</xdr:row>
          <xdr:rowOff>190440</xdr:rowOff>
        </xdr:from>
        <xdr:to>
          <xdr:col>23</xdr:col>
          <xdr:colOff>712800</xdr:colOff>
          <xdr:row>11</xdr:row>
          <xdr:rowOff>199800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8</xdr:row>
          <xdr:rowOff>685800</xdr:rowOff>
        </xdr:from>
        <xdr:to>
          <xdr:col>10</xdr:col>
          <xdr:colOff>28440</xdr:colOff>
          <xdr:row>9</xdr:row>
          <xdr:rowOff>-457200</xdr:rowOff>
        </xdr:to>
        <xdr:sp>
          <xdr:nvSpPr>
            <xdr:cNvPr id="0" name="Drop Down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9</xdr:row>
          <xdr:rowOff>685800</xdr:rowOff>
        </xdr:from>
        <xdr:to>
          <xdr:col>10</xdr:col>
          <xdr:colOff>28440</xdr:colOff>
          <xdr:row>10</xdr:row>
          <xdr:rowOff>-1600200</xdr:rowOff>
        </xdr:to>
        <xdr:sp>
          <xdr:nvSpPr>
            <xdr:cNvPr id="0" name="Drop Down 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11</xdr:row>
          <xdr:rowOff>685800</xdr:rowOff>
        </xdr:from>
        <xdr:to>
          <xdr:col>10</xdr:col>
          <xdr:colOff>28440</xdr:colOff>
          <xdr:row>12</xdr:row>
          <xdr:rowOff>-676440</xdr:rowOff>
        </xdr:to>
        <xdr:sp>
          <xdr:nvSpPr>
            <xdr:cNvPr id="0" name="Drop Down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10</xdr:row>
          <xdr:rowOff>295200</xdr:rowOff>
        </xdr:from>
        <xdr:to>
          <xdr:col>10</xdr:col>
          <xdr:colOff>28440</xdr:colOff>
          <xdr:row>11</xdr:row>
          <xdr:rowOff>-409680</xdr:rowOff>
        </xdr:to>
        <xdr:sp>
          <xdr:nvSpPr>
            <xdr:cNvPr id="0" name="Drop Down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13</xdr:row>
          <xdr:rowOff>9360</xdr:rowOff>
        </xdr:from>
        <xdr:to>
          <xdr:col>10</xdr:col>
          <xdr:colOff>28440</xdr:colOff>
          <xdr:row>14</xdr:row>
          <xdr:rowOff>-304920</xdr:rowOff>
        </xdr:to>
        <xdr:sp>
          <xdr:nvSpPr>
            <xdr:cNvPr id="0" name="Drop Down 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23</xdr:row>
          <xdr:rowOff>190440</xdr:rowOff>
        </xdr:from>
        <xdr:to>
          <xdr:col>10</xdr:col>
          <xdr:colOff>28440</xdr:colOff>
          <xdr:row>24</xdr:row>
          <xdr:rowOff>-1523880</xdr:rowOff>
        </xdr:to>
        <xdr:sp>
          <xdr:nvSpPr>
            <xdr:cNvPr id="0" name="Drop Down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24</xdr:row>
          <xdr:rowOff>361800</xdr:rowOff>
        </xdr:from>
        <xdr:to>
          <xdr:col>10</xdr:col>
          <xdr:colOff>28440</xdr:colOff>
          <xdr:row>25</xdr:row>
          <xdr:rowOff>-1067040</xdr:rowOff>
        </xdr:to>
        <xdr:sp>
          <xdr:nvSpPr>
            <xdr:cNvPr id="0" name="Drop Down 1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25</xdr:row>
          <xdr:rowOff>380880</xdr:rowOff>
        </xdr:from>
        <xdr:to>
          <xdr:col>10</xdr:col>
          <xdr:colOff>28440</xdr:colOff>
          <xdr:row>26</xdr:row>
          <xdr:rowOff>-752760</xdr:rowOff>
        </xdr:to>
        <xdr:sp>
          <xdr:nvSpPr>
            <xdr:cNvPr id="0" name="Drop Down 1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27</xdr:row>
          <xdr:rowOff>171360</xdr:rowOff>
        </xdr:from>
        <xdr:to>
          <xdr:col>10</xdr:col>
          <xdr:colOff>28440</xdr:colOff>
          <xdr:row>28</xdr:row>
          <xdr:rowOff>-504720</xdr:rowOff>
        </xdr:to>
        <xdr:sp>
          <xdr:nvSpPr>
            <xdr:cNvPr id="0" name="Drop Down 1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28</xdr:row>
          <xdr:rowOff>323640</xdr:rowOff>
        </xdr:from>
        <xdr:to>
          <xdr:col>10</xdr:col>
          <xdr:colOff>28440</xdr:colOff>
          <xdr:row>29</xdr:row>
          <xdr:rowOff>-838440</xdr:rowOff>
        </xdr:to>
        <xdr:sp>
          <xdr:nvSpPr>
            <xdr:cNvPr id="0" name="Drop Down 1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18</xdr:row>
          <xdr:rowOff>323640</xdr:rowOff>
        </xdr:from>
        <xdr:to>
          <xdr:col>10</xdr:col>
          <xdr:colOff>28440</xdr:colOff>
          <xdr:row>19</xdr:row>
          <xdr:rowOff>-685800</xdr:rowOff>
        </xdr:to>
        <xdr:sp>
          <xdr:nvSpPr>
            <xdr:cNvPr id="0" name="Drop Down 2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19</xdr:row>
          <xdr:rowOff>428400</xdr:rowOff>
        </xdr:from>
        <xdr:to>
          <xdr:col>10</xdr:col>
          <xdr:colOff>28440</xdr:colOff>
          <xdr:row>20</xdr:row>
          <xdr:rowOff>-1076760</xdr:rowOff>
        </xdr:to>
        <xdr:sp>
          <xdr:nvSpPr>
            <xdr:cNvPr id="0" name="Drop Down 2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20</xdr:row>
          <xdr:rowOff>428400</xdr:rowOff>
        </xdr:from>
        <xdr:to>
          <xdr:col>10</xdr:col>
          <xdr:colOff>28440</xdr:colOff>
          <xdr:row>21</xdr:row>
          <xdr:rowOff>-1438560</xdr:rowOff>
        </xdr:to>
        <xdr:sp>
          <xdr:nvSpPr>
            <xdr:cNvPr id="0" name="Drop Down 2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26</xdr:row>
          <xdr:rowOff>247680</xdr:rowOff>
        </xdr:from>
        <xdr:to>
          <xdr:col>10</xdr:col>
          <xdr:colOff>28440</xdr:colOff>
          <xdr:row>27</xdr:row>
          <xdr:rowOff>-914400</xdr:rowOff>
        </xdr:to>
        <xdr:sp>
          <xdr:nvSpPr>
            <xdr:cNvPr id="0" name="Drop Down 2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21</xdr:row>
          <xdr:rowOff>438120</xdr:rowOff>
        </xdr:from>
        <xdr:to>
          <xdr:col>10</xdr:col>
          <xdr:colOff>28440</xdr:colOff>
          <xdr:row>22</xdr:row>
          <xdr:rowOff>-3638160</xdr:rowOff>
        </xdr:to>
        <xdr:sp>
          <xdr:nvSpPr>
            <xdr:cNvPr id="0" name="Drop Down 2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9</xdr:col>
          <xdr:colOff>9360</xdr:colOff>
          <xdr:row>22</xdr:row>
          <xdr:rowOff>428400</xdr:rowOff>
        </xdr:from>
        <xdr:to>
          <xdr:col>10</xdr:col>
          <xdr:colOff>28440</xdr:colOff>
          <xdr:row>23</xdr:row>
          <xdr:rowOff>-1381680</xdr:rowOff>
        </xdr:to>
        <xdr:sp>
          <xdr:nvSpPr>
            <xdr:cNvPr id="0" name="Drop Down 25"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664560</xdr:colOff>
          <xdr:row>20</xdr:row>
          <xdr:rowOff>104400</xdr:rowOff>
        </xdr:from>
        <xdr:to>
          <xdr:col>1</xdr:col>
          <xdr:colOff>-199800</xdr:colOff>
          <xdr:row>21</xdr:row>
          <xdr:rowOff>104760</xdr:rowOff>
        </xdr:to>
        <xdr:sp>
          <xdr:nvSpPr>
            <xdr:cNvPr id="0" name="Drop Down 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42.xml.rels><?xml version="1.0" encoding="UTF-8"?>
<Relationships xmlns="http://schemas.openxmlformats.org/package/2006/relationships"><Relationship Id="rId1" Type="http://schemas.openxmlformats.org/officeDocument/2006/relationships/drawing" Target="../drawings/drawing2.xml"/>
</Relationships>
</file>

<file path=xl/worksheets/_rels/sheet43.xml.rels><?xml version="1.0" encoding="UTF-8"?>
<Relationships xmlns="http://schemas.openxmlformats.org/package/2006/relationships"><Relationship Id="rId1" Type="http://schemas.openxmlformats.org/officeDocument/2006/relationships/drawing" Target="../drawings/drawing3.xml"/>
</Relationships>
</file>

<file path=xl/worksheets/_rels/sheet44.xml.rels><?xml version="1.0" encoding="UTF-8"?>
<Relationships xmlns="http://schemas.openxmlformats.org/package/2006/relationships"><Relationship Id="rId1" Type="http://schemas.openxmlformats.org/officeDocument/2006/relationships/drawing" Target="../drawings/drawing4.xml"/>
</Relationships>
</file>

<file path=xl/worksheets/_rels/sheet8.xml.rels><?xml version="1.0" encoding="UTF-8"?>
<Relationships xmlns="http://schemas.openxmlformats.org/package/2006/relationships"><Relationship Id="rId1" Type="http://schemas.openxmlformats.org/officeDocument/2006/relationships/comments" Target="../comments8.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X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20" activeCellId="0" sqref="E20"/>
    </sheetView>
  </sheetViews>
  <sheetFormatPr defaultColWidth="11.43359375" defaultRowHeight="15.75" zeroHeight="false" outlineLevelRow="0" outlineLevelCol="0"/>
  <cols>
    <col collapsed="false" customWidth="true" hidden="false" outlineLevel="0" max="1" min="1" style="1" width="21.43"/>
    <col collapsed="false" customWidth="true" hidden="false" outlineLevel="0" max="2" min="2" style="1" width="2.42"/>
    <col collapsed="false" customWidth="false" hidden="false" outlineLevel="0" max="3" min="3" style="1" width="11.42"/>
    <col collapsed="false" customWidth="true" hidden="false" outlineLevel="0" max="4" min="4" style="1" width="1.14"/>
    <col collapsed="false" customWidth="false" hidden="false" outlineLevel="0" max="1024" min="5" style="1" width="11.42"/>
  </cols>
  <sheetData>
    <row r="1" customFormat="false" ht="15.75" hidden="false" customHeight="false" outlineLevel="0" collapsed="false">
      <c r="A1" s="2" t="s">
        <v>0</v>
      </c>
      <c r="B1" s="2"/>
      <c r="C1" s="2"/>
      <c r="D1" s="2"/>
      <c r="E1" s="2"/>
      <c r="F1" s="2"/>
      <c r="G1" s="2"/>
      <c r="H1" s="2"/>
      <c r="I1" s="2"/>
      <c r="J1" s="2"/>
      <c r="K1" s="2"/>
      <c r="L1" s="2"/>
      <c r="M1" s="3"/>
      <c r="N1" s="3"/>
      <c r="O1" s="3"/>
      <c r="P1" s="3"/>
      <c r="Q1" s="3"/>
      <c r="R1" s="3"/>
      <c r="S1" s="3"/>
      <c r="T1" s="3"/>
      <c r="U1" s="3"/>
      <c r="V1" s="3"/>
      <c r="W1" s="3"/>
      <c r="X1" s="3"/>
    </row>
    <row r="2" customFormat="false" ht="15.75" hidden="false" customHeight="false" outlineLevel="0" collapsed="false">
      <c r="A2" s="3"/>
      <c r="B2" s="3"/>
      <c r="C2" s="3"/>
      <c r="D2" s="3"/>
      <c r="E2" s="3"/>
      <c r="F2" s="3"/>
      <c r="G2" s="3"/>
      <c r="H2" s="3"/>
      <c r="I2" s="3"/>
      <c r="J2" s="3"/>
      <c r="K2" s="3"/>
      <c r="L2" s="3"/>
      <c r="M2" s="3"/>
      <c r="N2" s="3"/>
      <c r="O2" s="3"/>
      <c r="P2" s="3"/>
      <c r="Q2" s="3"/>
      <c r="R2" s="3"/>
      <c r="S2" s="3"/>
      <c r="T2" s="3"/>
      <c r="U2" s="3"/>
      <c r="V2" s="3"/>
      <c r="W2" s="3"/>
      <c r="X2" s="3"/>
    </row>
    <row r="3" s="5" customFormat="true" ht="15.75" hidden="false" customHeight="false" outlineLevel="0" collapsed="false">
      <c r="A3" s="4" t="s">
        <v>1</v>
      </c>
      <c r="B3" s="4"/>
      <c r="C3" s="4"/>
      <c r="D3" s="4"/>
      <c r="E3" s="4"/>
      <c r="F3" s="4"/>
      <c r="G3" s="4"/>
      <c r="H3" s="4"/>
      <c r="I3" s="4"/>
      <c r="J3" s="4"/>
      <c r="K3" s="4"/>
      <c r="L3" s="4"/>
      <c r="M3" s="4"/>
      <c r="N3" s="4"/>
      <c r="O3" s="4"/>
      <c r="P3" s="4"/>
      <c r="Q3" s="4"/>
      <c r="R3" s="4"/>
      <c r="S3" s="4"/>
      <c r="T3" s="4"/>
      <c r="U3" s="4"/>
      <c r="V3" s="4"/>
      <c r="W3" s="4"/>
      <c r="X3" s="4"/>
    </row>
    <row r="4" s="5" customFormat="true" ht="15.75" hidden="false" customHeight="false" outlineLevel="0" collapsed="false">
      <c r="A4" s="4" t="s">
        <v>2</v>
      </c>
      <c r="B4" s="4"/>
      <c r="C4" s="4"/>
      <c r="D4" s="4"/>
      <c r="E4" s="4"/>
      <c r="F4" s="4"/>
      <c r="G4" s="4"/>
      <c r="H4" s="4"/>
      <c r="I4" s="4"/>
      <c r="J4" s="4"/>
      <c r="K4" s="4"/>
      <c r="L4" s="4"/>
      <c r="M4" s="4"/>
      <c r="N4" s="4"/>
      <c r="O4" s="4"/>
      <c r="P4" s="4"/>
      <c r="Q4" s="4"/>
      <c r="R4" s="4"/>
      <c r="S4" s="4"/>
      <c r="T4" s="4"/>
      <c r="U4" s="4"/>
      <c r="V4" s="4"/>
      <c r="W4" s="4"/>
      <c r="X4" s="4"/>
    </row>
    <row r="5" s="5" customFormat="true" ht="15.75" hidden="false" customHeight="false" outlineLevel="0" collapsed="false">
      <c r="A5" s="4" t="s">
        <v>3</v>
      </c>
      <c r="B5" s="4"/>
      <c r="C5" s="4"/>
      <c r="D5" s="4"/>
      <c r="E5" s="4"/>
      <c r="F5" s="4"/>
      <c r="G5" s="4"/>
      <c r="H5" s="4"/>
      <c r="I5" s="4"/>
      <c r="J5" s="4"/>
      <c r="K5" s="4"/>
      <c r="L5" s="4"/>
      <c r="M5" s="4"/>
      <c r="N5" s="4"/>
      <c r="O5" s="4"/>
      <c r="P5" s="4"/>
      <c r="Q5" s="4"/>
      <c r="R5" s="4"/>
      <c r="S5" s="4"/>
      <c r="T5" s="4"/>
      <c r="U5" s="4"/>
      <c r="V5" s="4"/>
      <c r="W5" s="4"/>
      <c r="X5" s="4"/>
    </row>
    <row r="6" s="5" customFormat="true" ht="15.75" hidden="false" customHeight="false" outlineLevel="0" collapsed="false">
      <c r="A6" s="4" t="s">
        <v>4</v>
      </c>
      <c r="B6" s="4"/>
      <c r="C6" s="6"/>
      <c r="D6" s="4"/>
      <c r="E6" s="4" t="s">
        <v>5</v>
      </c>
      <c r="F6" s="4"/>
      <c r="G6" s="4"/>
      <c r="H6" s="4"/>
      <c r="I6" s="4"/>
      <c r="J6" s="4"/>
      <c r="K6" s="4"/>
      <c r="L6" s="4"/>
      <c r="M6" s="4"/>
      <c r="N6" s="4"/>
      <c r="O6" s="4"/>
      <c r="P6" s="4"/>
      <c r="Q6" s="4"/>
      <c r="R6" s="4"/>
      <c r="S6" s="4"/>
      <c r="T6" s="4"/>
      <c r="U6" s="4"/>
      <c r="V6" s="4"/>
      <c r="W6" s="4"/>
      <c r="X6" s="4"/>
    </row>
    <row r="7" s="5" customFormat="true" ht="15.75" hidden="false" customHeight="false" outlineLevel="0" collapsed="false">
      <c r="A7" s="4" t="s">
        <v>6</v>
      </c>
      <c r="B7" s="4"/>
      <c r="C7" s="7"/>
      <c r="D7" s="4"/>
      <c r="E7" s="4" t="s">
        <v>7</v>
      </c>
      <c r="F7" s="4"/>
      <c r="G7" s="4"/>
      <c r="H7" s="4"/>
      <c r="I7" s="4"/>
      <c r="J7" s="4"/>
      <c r="K7" s="4"/>
      <c r="L7" s="4"/>
      <c r="M7" s="4"/>
      <c r="N7" s="4"/>
      <c r="O7" s="4"/>
      <c r="P7" s="4"/>
      <c r="Q7" s="4"/>
      <c r="R7" s="4"/>
      <c r="S7" s="4"/>
      <c r="T7" s="4"/>
      <c r="U7" s="4"/>
      <c r="V7" s="4"/>
      <c r="W7" s="4"/>
      <c r="X7" s="4"/>
    </row>
    <row r="8" s="5" customFormat="true" ht="15.75" hidden="false" customHeight="false" outlineLevel="0" collapsed="false">
      <c r="A8" s="4" t="s">
        <v>8</v>
      </c>
      <c r="B8" s="4"/>
      <c r="C8" s="8"/>
      <c r="D8" s="4"/>
      <c r="E8" s="4" t="s">
        <v>9</v>
      </c>
      <c r="F8" s="4"/>
      <c r="G8" s="4"/>
      <c r="H8" s="4"/>
      <c r="I8" s="4"/>
      <c r="J8" s="4"/>
      <c r="K8" s="4"/>
      <c r="L8" s="4"/>
      <c r="M8" s="4"/>
      <c r="N8" s="4"/>
      <c r="O8" s="4"/>
      <c r="P8" s="4"/>
      <c r="Q8" s="4"/>
      <c r="R8" s="4"/>
      <c r="S8" s="4"/>
      <c r="T8" s="4"/>
      <c r="U8" s="4"/>
      <c r="V8" s="4"/>
      <c r="W8" s="4"/>
      <c r="X8" s="4"/>
    </row>
    <row r="9" customFormat="false" ht="15.75" hidden="false" customHeight="false" outlineLevel="0" collapsed="false">
      <c r="A9" s="3"/>
      <c r="B9" s="3"/>
      <c r="C9" s="3"/>
      <c r="D9" s="3"/>
      <c r="E9" s="3"/>
      <c r="F9" s="3"/>
      <c r="G9" s="3"/>
      <c r="H9" s="3"/>
      <c r="I9" s="3"/>
      <c r="J9" s="3"/>
      <c r="K9" s="3"/>
      <c r="L9" s="3"/>
      <c r="M9" s="3"/>
      <c r="N9" s="3"/>
      <c r="O9" s="3"/>
      <c r="P9" s="3"/>
      <c r="Q9" s="3"/>
      <c r="R9" s="3"/>
      <c r="S9" s="3"/>
      <c r="T9" s="3"/>
      <c r="U9" s="3"/>
      <c r="V9" s="3"/>
      <c r="W9" s="3"/>
      <c r="X9" s="3"/>
    </row>
    <row r="10" customFormat="false" ht="15.75" hidden="false" customHeight="false" outlineLevel="0" collapsed="false">
      <c r="A10" s="9" t="s">
        <v>10</v>
      </c>
      <c r="B10" s="3"/>
      <c r="C10" s="3"/>
      <c r="D10" s="3"/>
      <c r="E10" s="3"/>
      <c r="F10" s="3"/>
      <c r="G10" s="3"/>
      <c r="H10" s="3"/>
      <c r="I10" s="3"/>
      <c r="J10" s="3"/>
      <c r="K10" s="3"/>
      <c r="L10" s="3"/>
      <c r="M10" s="3"/>
      <c r="N10" s="3"/>
      <c r="O10" s="3"/>
      <c r="P10" s="3"/>
      <c r="Q10" s="3"/>
      <c r="R10" s="3"/>
      <c r="S10" s="3"/>
      <c r="T10" s="3"/>
      <c r="U10" s="3"/>
      <c r="V10" s="3"/>
      <c r="W10" s="3"/>
      <c r="X10" s="3"/>
    </row>
    <row r="11" customFormat="false" ht="15.75" hidden="false" customHeight="false" outlineLevel="0" collapsed="false">
      <c r="A11" s="3" t="s">
        <v>11</v>
      </c>
      <c r="B11" s="3"/>
      <c r="C11" s="3"/>
      <c r="D11" s="3"/>
      <c r="E11" s="3"/>
      <c r="F11" s="3"/>
      <c r="G11" s="3"/>
      <c r="H11" s="3"/>
      <c r="I11" s="3"/>
      <c r="J11" s="3"/>
      <c r="K11" s="3"/>
      <c r="L11" s="3"/>
      <c r="M11" s="3"/>
      <c r="N11" s="3"/>
      <c r="O11" s="3"/>
      <c r="P11" s="3"/>
      <c r="Q11" s="3"/>
      <c r="R11" s="3"/>
      <c r="S11" s="3"/>
      <c r="T11" s="3"/>
      <c r="U11" s="3"/>
      <c r="V11" s="3"/>
      <c r="W11" s="3"/>
      <c r="X11" s="3"/>
    </row>
    <row r="12" customFormat="false" ht="15.75" hidden="false" customHeight="false" outlineLevel="0" collapsed="false">
      <c r="A12" s="3" t="s">
        <v>12</v>
      </c>
      <c r="B12" s="3"/>
      <c r="C12" s="3"/>
      <c r="D12" s="3"/>
      <c r="E12" s="3"/>
      <c r="F12" s="3"/>
      <c r="G12" s="3"/>
      <c r="H12" s="3"/>
      <c r="I12" s="3"/>
      <c r="J12" s="3"/>
      <c r="K12" s="3"/>
      <c r="L12" s="3"/>
      <c r="M12" s="3"/>
      <c r="N12" s="3"/>
      <c r="O12" s="3"/>
      <c r="P12" s="3"/>
      <c r="Q12" s="3"/>
      <c r="R12" s="3"/>
      <c r="S12" s="3"/>
      <c r="T12" s="3"/>
      <c r="U12" s="3"/>
      <c r="V12" s="3"/>
      <c r="W12" s="3"/>
      <c r="X12" s="3"/>
    </row>
    <row r="13" customFormat="false" ht="15.75" hidden="false" customHeight="false" outlineLevel="0" collapsed="false">
      <c r="A13" s="3" t="s">
        <v>13</v>
      </c>
      <c r="B13" s="3"/>
      <c r="C13" s="3"/>
      <c r="D13" s="3"/>
      <c r="E13" s="3"/>
      <c r="F13" s="3"/>
      <c r="G13" s="3"/>
      <c r="H13" s="3"/>
      <c r="I13" s="3"/>
      <c r="J13" s="3"/>
      <c r="K13" s="3"/>
      <c r="L13" s="3"/>
      <c r="M13" s="3"/>
      <c r="N13" s="3"/>
      <c r="O13" s="3"/>
      <c r="P13" s="3"/>
      <c r="Q13" s="3"/>
      <c r="R13" s="3"/>
      <c r="S13" s="3"/>
      <c r="T13" s="3"/>
      <c r="U13" s="3"/>
      <c r="V13" s="3"/>
      <c r="W13" s="3"/>
      <c r="X13" s="3"/>
    </row>
    <row r="14" customFormat="false" ht="15.75" hidden="false" customHeight="false" outlineLevel="0" collapsed="false">
      <c r="A14" s="3"/>
      <c r="B14" s="3"/>
      <c r="C14" s="3"/>
      <c r="D14" s="3"/>
      <c r="E14" s="3"/>
      <c r="F14" s="3"/>
      <c r="G14" s="3"/>
      <c r="H14" s="3"/>
      <c r="I14" s="3"/>
      <c r="J14" s="3"/>
      <c r="K14" s="3"/>
      <c r="L14" s="3"/>
      <c r="M14" s="3"/>
      <c r="N14" s="3"/>
      <c r="O14" s="3"/>
      <c r="P14" s="3"/>
      <c r="Q14" s="3"/>
      <c r="R14" s="3"/>
      <c r="S14" s="3"/>
      <c r="T14" s="3"/>
      <c r="U14" s="3"/>
      <c r="V14" s="3"/>
      <c r="W14" s="3"/>
      <c r="X14" s="3"/>
    </row>
    <row r="15" customFormat="false" ht="15.75" hidden="false" customHeight="false" outlineLevel="0" collapsed="false">
      <c r="A15" s="3"/>
      <c r="B15" s="3"/>
      <c r="C15" s="3"/>
      <c r="D15" s="3"/>
      <c r="E15" s="3"/>
      <c r="F15" s="3"/>
      <c r="G15" s="3"/>
      <c r="H15" s="3"/>
      <c r="I15" s="3"/>
      <c r="J15" s="3"/>
      <c r="K15" s="3"/>
      <c r="L15" s="3"/>
      <c r="M15" s="3"/>
      <c r="N15" s="3"/>
      <c r="O15" s="3"/>
      <c r="P15" s="3"/>
      <c r="Q15" s="3"/>
      <c r="R15" s="3"/>
      <c r="S15" s="3"/>
      <c r="T15" s="3"/>
      <c r="U15" s="3"/>
      <c r="V15" s="3"/>
      <c r="W15" s="3"/>
      <c r="X15" s="3"/>
    </row>
    <row r="16" customFormat="false" ht="15.75" hidden="false" customHeight="false" outlineLevel="0" collapsed="false">
      <c r="A16" s="3"/>
      <c r="B16" s="3"/>
      <c r="C16" s="3"/>
      <c r="D16" s="3"/>
      <c r="E16" s="3"/>
      <c r="F16" s="3"/>
      <c r="G16" s="3"/>
      <c r="H16" s="3"/>
      <c r="I16" s="3"/>
      <c r="J16" s="3"/>
      <c r="K16" s="3"/>
      <c r="L16" s="3"/>
      <c r="M16" s="3"/>
      <c r="N16" s="3"/>
      <c r="O16" s="3"/>
      <c r="P16" s="3"/>
      <c r="Q16" s="3"/>
      <c r="R16" s="3"/>
      <c r="S16" s="3"/>
      <c r="T16" s="3"/>
      <c r="U16" s="3"/>
      <c r="V16" s="3"/>
      <c r="W16" s="3"/>
      <c r="X16" s="3"/>
    </row>
    <row r="17" customFormat="false" ht="15.75" hidden="false" customHeight="false" outlineLevel="0" collapsed="false">
      <c r="A17" s="10" t="s">
        <v>14</v>
      </c>
      <c r="B17" s="3"/>
      <c r="C17" s="3"/>
      <c r="D17" s="3"/>
      <c r="E17" s="3"/>
      <c r="F17" s="3"/>
      <c r="G17" s="3"/>
      <c r="H17" s="3"/>
      <c r="I17" s="3"/>
      <c r="J17" s="3"/>
      <c r="K17" s="3"/>
      <c r="L17" s="3"/>
      <c r="M17" s="3"/>
      <c r="N17" s="3"/>
      <c r="O17" s="3"/>
      <c r="P17" s="3"/>
      <c r="Q17" s="3"/>
      <c r="R17" s="3"/>
      <c r="S17" s="3"/>
      <c r="T17" s="3"/>
      <c r="U17" s="3"/>
      <c r="V17" s="3"/>
      <c r="W17" s="3"/>
      <c r="X17" s="3"/>
    </row>
    <row r="18" customFormat="false" ht="15.75" hidden="false" customHeight="false" outlineLevel="0" collapsed="false">
      <c r="A18" s="3"/>
      <c r="B18" s="3"/>
      <c r="C18" s="3"/>
      <c r="D18" s="3"/>
      <c r="E18" s="3"/>
      <c r="F18" s="3"/>
      <c r="G18" s="3"/>
      <c r="H18" s="3"/>
      <c r="I18" s="3"/>
      <c r="J18" s="3"/>
      <c r="K18" s="3"/>
      <c r="L18" s="3"/>
      <c r="M18" s="3"/>
      <c r="N18" s="3"/>
      <c r="O18" s="3"/>
      <c r="P18" s="3"/>
      <c r="Q18" s="3"/>
      <c r="R18" s="3"/>
      <c r="S18" s="3"/>
      <c r="T18" s="3"/>
      <c r="U18" s="3"/>
      <c r="V18" s="3"/>
      <c r="W18" s="3"/>
      <c r="X18" s="3"/>
    </row>
    <row r="19" customFormat="false" ht="15.75" hidden="false" customHeight="false" outlineLevel="0" collapsed="false">
      <c r="A19" s="3"/>
      <c r="B19" s="3"/>
      <c r="C19" s="3"/>
      <c r="D19" s="3"/>
      <c r="E19" s="3"/>
      <c r="F19" s="3"/>
      <c r="G19" s="3"/>
      <c r="H19" s="3"/>
      <c r="I19" s="3"/>
      <c r="J19" s="3"/>
      <c r="K19" s="3"/>
      <c r="L19" s="3"/>
      <c r="M19" s="3"/>
      <c r="N19" s="3"/>
      <c r="O19" s="3"/>
      <c r="P19" s="3"/>
      <c r="Q19" s="3"/>
      <c r="R19" s="3"/>
      <c r="S19" s="3"/>
      <c r="T19" s="3"/>
      <c r="U19" s="3"/>
      <c r="V19" s="3"/>
      <c r="W19" s="3"/>
      <c r="X19" s="3"/>
    </row>
    <row r="20" customFormat="false" ht="15.75" hidden="false" customHeight="false" outlineLevel="0" collapsed="false">
      <c r="A20" s="3"/>
      <c r="B20" s="3"/>
      <c r="C20" s="3"/>
      <c r="D20" s="3"/>
      <c r="E20" s="3"/>
      <c r="F20" s="3"/>
      <c r="G20" s="3"/>
      <c r="H20" s="3"/>
      <c r="I20" s="3"/>
      <c r="J20" s="3"/>
      <c r="K20" s="3"/>
      <c r="L20" s="3"/>
      <c r="M20" s="3"/>
      <c r="N20" s="3"/>
      <c r="O20" s="3"/>
      <c r="P20" s="3"/>
      <c r="Q20" s="3"/>
      <c r="R20" s="3"/>
      <c r="S20" s="3"/>
      <c r="T20" s="3"/>
      <c r="U20" s="3"/>
      <c r="V20" s="3"/>
      <c r="W20" s="3"/>
      <c r="X20" s="3"/>
    </row>
    <row r="21" customFormat="false" ht="15.75" hidden="false" customHeight="false" outlineLevel="0" collapsed="false">
      <c r="A21" s="3"/>
      <c r="B21" s="3"/>
      <c r="C21" s="3"/>
      <c r="D21" s="3"/>
      <c r="E21" s="3"/>
      <c r="F21" s="3"/>
      <c r="G21" s="3"/>
      <c r="H21" s="3"/>
      <c r="I21" s="3"/>
      <c r="J21" s="3"/>
      <c r="K21" s="3"/>
      <c r="L21" s="3"/>
      <c r="M21" s="3"/>
      <c r="N21" s="3"/>
      <c r="O21" s="3"/>
      <c r="P21" s="3"/>
      <c r="Q21" s="3"/>
      <c r="R21" s="3"/>
      <c r="S21" s="3"/>
      <c r="T21" s="3"/>
      <c r="U21" s="3"/>
      <c r="V21" s="3"/>
      <c r="W21" s="3"/>
      <c r="X21" s="3"/>
    </row>
    <row r="22" customFormat="false" ht="15.75" hidden="false" customHeight="false" outlineLevel="0" collapsed="false">
      <c r="A22" s="3"/>
      <c r="B22" s="3"/>
      <c r="C22" s="3"/>
      <c r="D22" s="3"/>
      <c r="E22" s="3"/>
      <c r="F22" s="3"/>
      <c r="G22" s="3"/>
      <c r="H22" s="3"/>
      <c r="I22" s="3"/>
      <c r="J22" s="3"/>
      <c r="K22" s="3"/>
      <c r="L22" s="3"/>
      <c r="M22" s="3"/>
      <c r="N22" s="3"/>
      <c r="O22" s="3"/>
      <c r="P22" s="3"/>
      <c r="Q22" s="3"/>
      <c r="R22" s="3"/>
      <c r="S22" s="3"/>
      <c r="T22" s="3"/>
      <c r="U22" s="3"/>
      <c r="V22" s="3"/>
      <c r="W22" s="3"/>
      <c r="X22" s="3"/>
    </row>
    <row r="23" customFormat="false" ht="15.75" hidden="false" customHeight="false" outlineLevel="0" collapsed="false">
      <c r="A23" s="3"/>
      <c r="B23" s="3"/>
      <c r="C23" s="3"/>
      <c r="D23" s="3"/>
      <c r="E23" s="3"/>
      <c r="F23" s="3"/>
      <c r="G23" s="3"/>
      <c r="H23" s="3"/>
      <c r="I23" s="3"/>
      <c r="J23" s="3"/>
      <c r="K23" s="3"/>
      <c r="L23" s="3"/>
      <c r="M23" s="3"/>
      <c r="N23" s="3"/>
      <c r="O23" s="3"/>
      <c r="P23" s="3"/>
      <c r="Q23" s="3"/>
      <c r="R23" s="3"/>
      <c r="S23" s="3"/>
      <c r="T23" s="3"/>
      <c r="U23" s="3"/>
      <c r="V23" s="3"/>
      <c r="W23" s="3"/>
      <c r="X23" s="3"/>
    </row>
    <row r="24" customFormat="false" ht="15.75" hidden="false" customHeight="false" outlineLevel="0" collapsed="false">
      <c r="A24" s="3"/>
      <c r="B24" s="3"/>
      <c r="C24" s="3"/>
      <c r="D24" s="3"/>
      <c r="E24" s="3"/>
      <c r="F24" s="3"/>
      <c r="G24" s="3"/>
      <c r="H24" s="3"/>
      <c r="I24" s="3"/>
      <c r="J24" s="3"/>
      <c r="K24" s="3"/>
      <c r="L24" s="3"/>
      <c r="M24" s="3"/>
      <c r="N24" s="3"/>
      <c r="O24" s="3"/>
      <c r="P24" s="3"/>
      <c r="Q24" s="3"/>
      <c r="R24" s="3"/>
      <c r="S24" s="3"/>
      <c r="T24" s="3"/>
      <c r="U24" s="3"/>
      <c r="V24" s="3"/>
      <c r="W24" s="3"/>
      <c r="X24" s="3"/>
    </row>
    <row r="25" customFormat="false" ht="15.75" hidden="false" customHeight="false" outlineLevel="0" collapsed="false">
      <c r="A25" s="3"/>
      <c r="B25" s="3"/>
      <c r="C25" s="3"/>
      <c r="D25" s="3"/>
      <c r="E25" s="3"/>
      <c r="F25" s="3"/>
      <c r="G25" s="3"/>
      <c r="H25" s="3"/>
      <c r="I25" s="3"/>
      <c r="J25" s="3"/>
      <c r="K25" s="3"/>
      <c r="L25" s="3"/>
      <c r="M25" s="3"/>
      <c r="N25" s="3"/>
      <c r="O25" s="3"/>
      <c r="P25" s="3"/>
      <c r="Q25" s="3"/>
      <c r="R25" s="3"/>
      <c r="S25" s="3"/>
      <c r="T25" s="3"/>
      <c r="U25" s="3"/>
      <c r="V25" s="3"/>
      <c r="W25" s="3"/>
      <c r="X25" s="3"/>
    </row>
    <row r="26" customFormat="false" ht="15.75" hidden="false" customHeight="false" outlineLevel="0" collapsed="false">
      <c r="A26" s="3"/>
      <c r="B26" s="3"/>
      <c r="C26" s="3"/>
      <c r="D26" s="3"/>
      <c r="E26" s="3"/>
      <c r="F26" s="3"/>
      <c r="G26" s="3"/>
      <c r="H26" s="3"/>
      <c r="I26" s="3"/>
      <c r="J26" s="3"/>
      <c r="K26" s="3"/>
      <c r="L26" s="3"/>
      <c r="M26" s="3"/>
      <c r="N26" s="3"/>
      <c r="O26" s="3"/>
      <c r="P26" s="3"/>
      <c r="Q26" s="3"/>
      <c r="R26" s="3"/>
      <c r="S26" s="3"/>
      <c r="T26" s="3"/>
      <c r="U26" s="3"/>
      <c r="V26" s="3"/>
      <c r="W26" s="3"/>
      <c r="X26" s="3"/>
    </row>
    <row r="27" customFormat="false" ht="15.75" hidden="false" customHeight="false" outlineLevel="0" collapsed="false">
      <c r="A27" s="3"/>
      <c r="B27" s="3"/>
      <c r="C27" s="3"/>
      <c r="D27" s="3"/>
      <c r="E27" s="3"/>
      <c r="F27" s="3"/>
      <c r="G27" s="3"/>
      <c r="H27" s="3"/>
      <c r="I27" s="3"/>
      <c r="J27" s="3"/>
      <c r="K27" s="3"/>
      <c r="L27" s="3"/>
      <c r="M27" s="3"/>
      <c r="N27" s="3"/>
      <c r="O27" s="3"/>
      <c r="P27" s="3"/>
      <c r="Q27" s="3"/>
      <c r="R27" s="3"/>
      <c r="S27" s="3"/>
      <c r="T27" s="3"/>
      <c r="U27" s="3"/>
      <c r="V27" s="3"/>
      <c r="W27" s="3"/>
      <c r="X27" s="3"/>
    </row>
    <row r="28" customFormat="false" ht="15.75" hidden="false" customHeight="false" outlineLevel="0" collapsed="false">
      <c r="A28" s="3"/>
      <c r="B28" s="3"/>
      <c r="C28" s="3"/>
      <c r="D28" s="3"/>
      <c r="E28" s="3"/>
      <c r="F28" s="3"/>
      <c r="G28" s="3"/>
      <c r="H28" s="3"/>
      <c r="I28" s="3"/>
      <c r="J28" s="3"/>
      <c r="K28" s="3"/>
      <c r="L28" s="3"/>
      <c r="M28" s="3"/>
      <c r="N28" s="3"/>
      <c r="O28" s="3"/>
      <c r="P28" s="3"/>
      <c r="Q28" s="3"/>
      <c r="R28" s="3"/>
      <c r="S28" s="3"/>
      <c r="T28" s="3"/>
      <c r="U28" s="3"/>
      <c r="V28" s="3"/>
      <c r="W28" s="3"/>
      <c r="X28" s="3"/>
    </row>
    <row r="29" customFormat="false" ht="15.75" hidden="false" customHeight="false" outlineLevel="0" collapsed="false">
      <c r="A29" s="3"/>
      <c r="B29" s="3"/>
      <c r="C29" s="3"/>
      <c r="D29" s="3"/>
      <c r="E29" s="3"/>
      <c r="F29" s="3"/>
      <c r="G29" s="3"/>
      <c r="H29" s="3"/>
      <c r="I29" s="3"/>
      <c r="J29" s="3"/>
      <c r="K29" s="3"/>
      <c r="L29" s="3"/>
      <c r="M29" s="3"/>
      <c r="N29" s="3"/>
      <c r="O29" s="3"/>
      <c r="P29" s="3"/>
      <c r="Q29" s="3"/>
      <c r="R29" s="3"/>
      <c r="S29" s="3"/>
      <c r="T29" s="3"/>
      <c r="U29" s="3"/>
      <c r="V29" s="3"/>
      <c r="W29" s="3"/>
      <c r="X29" s="3"/>
    </row>
    <row r="30" customFormat="false" ht="15.75" hidden="false" customHeight="false" outlineLevel="0" collapsed="false">
      <c r="A30" s="3"/>
      <c r="B30" s="3"/>
      <c r="C30" s="3"/>
      <c r="D30" s="3"/>
      <c r="E30" s="3"/>
      <c r="F30" s="3"/>
      <c r="G30" s="3"/>
      <c r="H30" s="3"/>
      <c r="I30" s="3"/>
      <c r="J30" s="3"/>
      <c r="K30" s="3"/>
      <c r="L30" s="3"/>
      <c r="M30" s="3"/>
      <c r="N30" s="3"/>
      <c r="O30" s="3"/>
      <c r="P30" s="3"/>
      <c r="Q30" s="3"/>
      <c r="R30" s="3"/>
      <c r="S30" s="3"/>
      <c r="T30" s="3"/>
      <c r="U30" s="3"/>
      <c r="V30" s="3"/>
      <c r="W30" s="3"/>
      <c r="X30" s="3"/>
    </row>
    <row r="31" customFormat="false" ht="15.75" hidden="false" customHeight="false" outlineLevel="0" collapsed="false">
      <c r="A31" s="3"/>
      <c r="B31" s="3"/>
      <c r="C31" s="3"/>
      <c r="D31" s="3"/>
      <c r="E31" s="3"/>
      <c r="F31" s="3"/>
      <c r="G31" s="3"/>
      <c r="H31" s="3"/>
      <c r="I31" s="3"/>
      <c r="J31" s="3"/>
      <c r="K31" s="3"/>
      <c r="L31" s="3"/>
      <c r="M31" s="3"/>
      <c r="N31" s="3"/>
      <c r="O31" s="3"/>
      <c r="P31" s="3"/>
      <c r="Q31" s="3"/>
      <c r="R31" s="3"/>
      <c r="S31" s="3"/>
      <c r="T31" s="3"/>
      <c r="U31" s="3"/>
      <c r="V31" s="3"/>
      <c r="W31" s="3"/>
      <c r="X31" s="3"/>
    </row>
    <row r="32" customFormat="false" ht="15.75" hidden="false" customHeight="false" outlineLevel="0" collapsed="false">
      <c r="A32" s="3"/>
      <c r="B32" s="3"/>
      <c r="C32" s="3"/>
      <c r="D32" s="3"/>
      <c r="E32" s="3"/>
      <c r="F32" s="3"/>
      <c r="G32" s="3"/>
      <c r="H32" s="3"/>
      <c r="I32" s="3"/>
      <c r="J32" s="3"/>
      <c r="K32" s="3"/>
      <c r="L32" s="3"/>
      <c r="M32" s="3"/>
      <c r="N32" s="3"/>
      <c r="O32" s="3"/>
      <c r="P32" s="3"/>
      <c r="Q32" s="3"/>
      <c r="R32" s="3"/>
      <c r="S32" s="3"/>
      <c r="T32" s="3"/>
      <c r="U32" s="3"/>
      <c r="V32" s="3"/>
      <c r="W32" s="3"/>
      <c r="X32" s="3"/>
    </row>
    <row r="33" customFormat="false" ht="15.75" hidden="false" customHeight="false" outlineLevel="0" collapsed="false">
      <c r="A33" s="3"/>
      <c r="B33" s="3"/>
      <c r="C33" s="3"/>
      <c r="D33" s="3"/>
      <c r="E33" s="3"/>
      <c r="F33" s="3"/>
      <c r="G33" s="3"/>
      <c r="H33" s="3"/>
      <c r="I33" s="3"/>
      <c r="J33" s="3"/>
      <c r="K33" s="3"/>
      <c r="L33" s="3"/>
      <c r="M33" s="3"/>
      <c r="N33" s="3"/>
      <c r="O33" s="3"/>
      <c r="P33" s="3"/>
      <c r="Q33" s="3"/>
      <c r="R33" s="3"/>
      <c r="S33" s="3"/>
      <c r="T33" s="3"/>
      <c r="U33" s="3"/>
      <c r="V33" s="3"/>
      <c r="W33" s="3"/>
      <c r="X33" s="3"/>
    </row>
    <row r="34" customFormat="false" ht="15.75" hidden="false" customHeight="false" outlineLevel="0" collapsed="false">
      <c r="A34" s="3"/>
      <c r="B34" s="3"/>
      <c r="C34" s="3"/>
      <c r="D34" s="3"/>
      <c r="E34" s="3"/>
      <c r="F34" s="3"/>
      <c r="G34" s="3"/>
      <c r="H34" s="3"/>
      <c r="I34" s="11"/>
      <c r="J34" s="3"/>
      <c r="K34" s="3"/>
      <c r="L34" s="3"/>
      <c r="M34" s="3"/>
      <c r="N34" s="3"/>
      <c r="O34" s="3"/>
      <c r="P34" s="3"/>
      <c r="Q34" s="3"/>
      <c r="R34" s="3"/>
      <c r="S34" s="3"/>
      <c r="T34" s="3"/>
      <c r="U34" s="3"/>
      <c r="V34" s="3"/>
      <c r="W34" s="3"/>
      <c r="X34" s="3"/>
    </row>
    <row r="35" customFormat="false" ht="15.75" hidden="false" customHeight="false" outlineLevel="0" collapsed="false">
      <c r="A35" s="3"/>
      <c r="B35" s="3"/>
      <c r="C35" s="3"/>
      <c r="D35" s="3"/>
      <c r="E35" s="3"/>
      <c r="F35" s="3"/>
      <c r="G35" s="3"/>
      <c r="H35" s="3"/>
      <c r="I35" s="3"/>
      <c r="J35" s="3"/>
      <c r="K35" s="3"/>
      <c r="L35" s="3"/>
      <c r="M35" s="3"/>
      <c r="N35" s="3"/>
      <c r="O35" s="3"/>
      <c r="P35" s="3"/>
      <c r="Q35" s="3"/>
      <c r="R35" s="3"/>
      <c r="S35" s="3"/>
      <c r="T35" s="3"/>
      <c r="U35" s="3"/>
      <c r="V35" s="3"/>
      <c r="W35" s="3"/>
      <c r="X35" s="3"/>
    </row>
    <row r="36" customFormat="false" ht="15.75" hidden="false" customHeight="false" outlineLevel="0" collapsed="false">
      <c r="A36" s="3"/>
      <c r="B36" s="3"/>
      <c r="C36" s="3"/>
      <c r="D36" s="3"/>
      <c r="E36" s="3"/>
      <c r="F36" s="3"/>
      <c r="G36" s="3"/>
      <c r="H36" s="3"/>
      <c r="I36" s="3"/>
      <c r="J36" s="3"/>
      <c r="K36" s="3"/>
      <c r="L36" s="3"/>
      <c r="M36" s="3"/>
      <c r="N36" s="3"/>
      <c r="O36" s="3"/>
      <c r="P36" s="3"/>
      <c r="Q36" s="3"/>
      <c r="R36" s="3"/>
      <c r="S36" s="3"/>
      <c r="T36" s="3"/>
      <c r="U36" s="3"/>
      <c r="V36" s="3"/>
      <c r="W36" s="3"/>
      <c r="X36" s="3"/>
    </row>
    <row r="37" customFormat="false" ht="15.75" hidden="false" customHeight="false" outlineLevel="0" collapsed="false">
      <c r="A37" s="3"/>
      <c r="B37" s="3"/>
      <c r="C37" s="3"/>
      <c r="D37" s="3"/>
      <c r="E37" s="3"/>
      <c r="F37" s="3"/>
      <c r="G37" s="3"/>
      <c r="H37" s="3"/>
      <c r="I37" s="3"/>
      <c r="J37" s="3"/>
      <c r="K37" s="3"/>
      <c r="L37" s="3"/>
      <c r="M37" s="3"/>
      <c r="N37" s="3"/>
      <c r="O37" s="3"/>
      <c r="P37" s="3"/>
      <c r="Q37" s="3"/>
      <c r="R37" s="3"/>
      <c r="S37" s="3"/>
      <c r="T37" s="3"/>
      <c r="U37" s="3"/>
      <c r="V37" s="3"/>
      <c r="W37" s="3"/>
      <c r="X37" s="3"/>
    </row>
    <row r="38" customFormat="false" ht="15.75" hidden="false" customHeight="false" outlineLevel="0" collapsed="false">
      <c r="A38" s="3"/>
      <c r="B38" s="3"/>
      <c r="C38" s="3"/>
      <c r="D38" s="3"/>
      <c r="E38" s="3"/>
      <c r="F38" s="3"/>
      <c r="G38" s="3"/>
      <c r="H38" s="3"/>
      <c r="I38" s="3"/>
      <c r="J38" s="3"/>
      <c r="K38" s="3"/>
      <c r="L38" s="3"/>
      <c r="M38" s="3"/>
      <c r="N38" s="3"/>
      <c r="O38" s="3"/>
      <c r="P38" s="3"/>
      <c r="Q38" s="3"/>
      <c r="R38" s="3"/>
      <c r="S38" s="3"/>
      <c r="T38" s="3"/>
      <c r="U38" s="3"/>
      <c r="V38" s="3"/>
      <c r="W38" s="3"/>
      <c r="X38" s="3"/>
    </row>
    <row r="39" customFormat="false" ht="15.75" hidden="false" customHeight="false" outlineLevel="0" collapsed="false">
      <c r="A39" s="3"/>
      <c r="B39" s="3"/>
      <c r="C39" s="3"/>
      <c r="D39" s="3"/>
      <c r="E39" s="3"/>
      <c r="F39" s="3"/>
      <c r="G39" s="3"/>
      <c r="H39" s="3"/>
      <c r="I39" s="3"/>
      <c r="J39" s="3"/>
      <c r="K39" s="3"/>
      <c r="L39" s="3"/>
      <c r="M39" s="3"/>
      <c r="N39" s="3"/>
      <c r="O39" s="3"/>
      <c r="P39" s="3"/>
      <c r="Q39" s="3"/>
      <c r="R39" s="3"/>
      <c r="S39" s="3"/>
      <c r="T39" s="3"/>
      <c r="U39" s="3"/>
      <c r="V39" s="3"/>
      <c r="W39" s="3"/>
      <c r="X39" s="3"/>
    </row>
    <row r="40" customFormat="false" ht="15.75" hidden="false" customHeight="false" outlineLevel="0" collapsed="false">
      <c r="A40" s="3"/>
      <c r="B40" s="3"/>
      <c r="C40" s="3"/>
      <c r="D40" s="3"/>
      <c r="E40" s="3"/>
      <c r="F40" s="3"/>
      <c r="G40" s="3"/>
      <c r="H40" s="3"/>
      <c r="I40" s="3"/>
      <c r="J40" s="3"/>
      <c r="K40" s="3"/>
      <c r="L40" s="3"/>
      <c r="M40" s="3"/>
      <c r="N40" s="3"/>
      <c r="O40" s="3"/>
      <c r="P40" s="3"/>
      <c r="Q40" s="3"/>
      <c r="R40" s="3"/>
      <c r="S40" s="3"/>
      <c r="T40" s="3"/>
      <c r="U40" s="3"/>
      <c r="V40" s="3"/>
      <c r="W40" s="3"/>
      <c r="X40" s="3"/>
    </row>
  </sheetData>
  <mergeCells count="1">
    <mergeCell ref="A1:L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T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2" activeCellId="0" sqref="H12"/>
    </sheetView>
  </sheetViews>
  <sheetFormatPr defaultColWidth="11.43359375" defaultRowHeight="12.75" zeroHeight="false" outlineLevelRow="0" outlineLevelCol="0"/>
  <cols>
    <col collapsed="false" customWidth="true" hidden="false" outlineLevel="0" max="1" min="1" style="0" width="5.28"/>
    <col collapsed="false" customWidth="true" hidden="false" outlineLevel="0" max="2" min="2" style="190" width="6.15"/>
    <col collapsed="false" customWidth="true" hidden="false" outlineLevel="0" max="3" min="3" style="190" width="3.71"/>
    <col collapsed="false" customWidth="true" hidden="false" outlineLevel="0" max="4" min="4" style="190" width="7.86"/>
    <col collapsed="false" customWidth="true" hidden="false" outlineLevel="0" max="5" min="5" style="190" width="53.71"/>
    <col collapsed="false" customWidth="true" hidden="false" outlineLevel="0" max="7" min="6" style="191" width="3.29"/>
    <col collapsed="false" customWidth="true" hidden="false" outlineLevel="0" max="8" min="8" style="203" width="16.42"/>
    <col collapsed="false" customWidth="true" hidden="false" outlineLevel="0" max="10" min="10" style="0" width="1.71"/>
    <col collapsed="false" customWidth="true" hidden="false" outlineLevel="0" max="11" min="11" style="0" width="11.71"/>
    <col collapsed="false" customWidth="true" hidden="false" outlineLevel="0" max="12" min="12" style="0" width="38.7"/>
    <col collapsed="false" customWidth="true" hidden="false" outlineLevel="0" max="13" min="13" style="0" width="1.29"/>
    <col collapsed="false" customWidth="true" hidden="false" outlineLevel="0" max="14" min="14" style="0" width="10.29"/>
    <col collapsed="false" customWidth="true" hidden="false" outlineLevel="0" max="15" min="15" style="0" width="13.7"/>
    <col collapsed="false" customWidth="true" hidden="false" outlineLevel="0" max="16" min="16" style="0" width="17.71"/>
    <col collapsed="false" customWidth="true" hidden="false" outlineLevel="0" max="18" min="18" style="0" width="11.71"/>
  </cols>
  <sheetData>
    <row r="1" customFormat="false" ht="12.75" hidden="false" customHeight="false" outlineLevel="0" collapsed="false">
      <c r="A1" s="192" t="s">
        <v>441</v>
      </c>
      <c r="B1" s="204" t="s">
        <v>442</v>
      </c>
      <c r="C1" s="204"/>
      <c r="D1" s="204"/>
      <c r="E1" s="204"/>
      <c r="F1" s="205" t="s">
        <v>176</v>
      </c>
      <c r="G1" s="206"/>
      <c r="H1" s="207" t="n">
        <f aca="false">H3+H10+H18+H22+H30+H31+H32</f>
        <v>213647.482091627</v>
      </c>
      <c r="P1" s="203"/>
    </row>
    <row r="2" customFormat="false" ht="13.5" hidden="false" customHeight="false" outlineLevel="0" collapsed="false"/>
    <row r="3" customFormat="false" ht="15.75" hidden="false" customHeight="false" outlineLevel="0" collapsed="false">
      <c r="B3" s="208" t="s">
        <v>443</v>
      </c>
      <c r="C3" s="209" t="s">
        <v>444</v>
      </c>
      <c r="D3" s="209"/>
      <c r="E3" s="209"/>
      <c r="F3" s="210" t="s">
        <v>176</v>
      </c>
      <c r="G3" s="211"/>
      <c r="H3" s="212" t="n">
        <f aca="false">SUM(H4:H8)</f>
        <v>14744.3186666667</v>
      </c>
      <c r="J3" s="15" t="s">
        <v>16</v>
      </c>
      <c r="K3" s="15"/>
      <c r="L3" s="15"/>
      <c r="M3" s="15"/>
    </row>
    <row r="4" customFormat="false" ht="15" hidden="false" customHeight="false" outlineLevel="0" collapsed="false">
      <c r="D4" s="190" t="s">
        <v>445</v>
      </c>
      <c r="E4" s="190" t="s">
        <v>446</v>
      </c>
      <c r="F4" s="213"/>
      <c r="G4" s="214" t="s">
        <v>176</v>
      </c>
      <c r="H4" s="215" t="n">
        <f aca="false">'A.IX.a. Deprec. veículos'!G248</f>
        <v>13979.6666666667</v>
      </c>
      <c r="J4" s="17"/>
      <c r="K4" s="18"/>
      <c r="L4" s="18"/>
      <c r="M4" s="19"/>
    </row>
    <row r="5" customFormat="false" ht="15" hidden="false" customHeight="false" outlineLevel="0" collapsed="false">
      <c r="D5" s="190" t="s">
        <v>447</v>
      </c>
      <c r="E5" s="190" t="s">
        <v>448</v>
      </c>
      <c r="F5" s="216"/>
      <c r="G5" s="214" t="s">
        <v>176</v>
      </c>
      <c r="H5" s="215" t="n">
        <f aca="false">((0.0001*'2.1.b Veículos'!D9)*9)+((0.0001*'2.1.b Veículos'!F9)*2)+((0.0001*'2.1.c Insumos'!F72)+(0.0001*'2.1.c Insumos'!F75))</f>
        <v>764.652</v>
      </c>
      <c r="J5" s="20"/>
      <c r="K5" s="21"/>
      <c r="L5" s="22" t="s">
        <v>18</v>
      </c>
      <c r="M5" s="23"/>
    </row>
    <row r="6" customFormat="false" ht="15" hidden="false" customHeight="false" outlineLevel="0" collapsed="false">
      <c r="D6" s="190" t="s">
        <v>449</v>
      </c>
      <c r="E6" s="190" t="s">
        <v>450</v>
      </c>
      <c r="F6" s="216"/>
      <c r="G6" s="214" t="s">
        <v>176</v>
      </c>
      <c r="H6" s="215"/>
      <c r="J6" s="20"/>
      <c r="K6" s="27"/>
      <c r="L6" s="22" t="s">
        <v>20</v>
      </c>
      <c r="M6" s="23"/>
      <c r="P6" s="203"/>
    </row>
    <row r="7" customFormat="false" ht="15" hidden="false" customHeight="false" outlineLevel="0" collapsed="false">
      <c r="D7" s="190" t="s">
        <v>451</v>
      </c>
      <c r="E7" s="190" t="s">
        <v>452</v>
      </c>
      <c r="F7" s="216"/>
      <c r="G7" s="214" t="s">
        <v>176</v>
      </c>
      <c r="H7" s="215"/>
      <c r="J7" s="20"/>
      <c r="K7" s="28"/>
      <c r="L7" s="22" t="s">
        <v>22</v>
      </c>
      <c r="M7" s="23"/>
      <c r="P7" s="203"/>
    </row>
    <row r="8" customFormat="false" ht="15.75" hidden="false" customHeight="false" outlineLevel="0" collapsed="false">
      <c r="D8" s="190" t="s">
        <v>453</v>
      </c>
      <c r="E8" s="190" t="s">
        <v>454</v>
      </c>
      <c r="F8" s="217"/>
      <c r="G8" s="214" t="s">
        <v>176</v>
      </c>
      <c r="H8" s="215"/>
      <c r="J8" s="29"/>
      <c r="K8" s="30"/>
      <c r="L8" s="30"/>
      <c r="M8" s="31"/>
      <c r="P8" s="203"/>
    </row>
    <row r="9" customFormat="false" ht="12.75" hidden="false" customHeight="false" outlineLevel="0" collapsed="false">
      <c r="F9" s="218"/>
      <c r="G9" s="218"/>
    </row>
    <row r="10" customFormat="false" ht="12.75" hidden="false" customHeight="false" outlineLevel="0" collapsed="false">
      <c r="B10" s="208" t="s">
        <v>455</v>
      </c>
      <c r="C10" s="209" t="s">
        <v>456</v>
      </c>
      <c r="D10" s="209"/>
      <c r="E10" s="209"/>
      <c r="F10" s="210" t="s">
        <v>176</v>
      </c>
      <c r="G10" s="211"/>
      <c r="H10" s="219" t="n">
        <f aca="false">SUM(H11:H16)</f>
        <v>3185.91484886667</v>
      </c>
      <c r="L10" s="200"/>
      <c r="R10" s="203"/>
      <c r="T10" s="200"/>
    </row>
    <row r="11" customFormat="false" ht="12.75" hidden="false" customHeight="false" outlineLevel="0" collapsed="false">
      <c r="D11" s="190" t="s">
        <v>457</v>
      </c>
      <c r="E11" s="190" t="s">
        <v>458</v>
      </c>
      <c r="F11" s="213"/>
      <c r="G11" s="214" t="s">
        <v>176</v>
      </c>
      <c r="H11" s="215" t="n">
        <f aca="false">'A.X.a. Remun. veículos '!G231</f>
        <v>888.041716666666</v>
      </c>
    </row>
    <row r="12" customFormat="false" ht="12.75" hidden="false" customHeight="false" outlineLevel="0" collapsed="false">
      <c r="D12" s="190" t="s">
        <v>459</v>
      </c>
      <c r="E12" s="190" t="s">
        <v>460</v>
      </c>
      <c r="F12" s="216"/>
      <c r="G12" s="214" t="s">
        <v>176</v>
      </c>
      <c r="H12" s="215" t="n">
        <f aca="false">'A.X.b.  Remun. garagem equip.'!D20</f>
        <v>2234.18791386667</v>
      </c>
    </row>
    <row r="13" customFormat="false" ht="12.75" hidden="false" customHeight="false" outlineLevel="0" collapsed="false">
      <c r="D13" s="190" t="s">
        <v>461</v>
      </c>
      <c r="E13" s="190" t="s">
        <v>462</v>
      </c>
      <c r="F13" s="216"/>
      <c r="G13" s="214" t="s">
        <v>176</v>
      </c>
      <c r="H13" s="215"/>
      <c r="L13" s="203"/>
      <c r="O13" s="220"/>
    </row>
    <row r="14" customFormat="false" ht="12.75" hidden="false" customHeight="false" outlineLevel="0" collapsed="false">
      <c r="D14" s="190" t="s">
        <v>463</v>
      </c>
      <c r="E14" s="190" t="s">
        <v>464</v>
      </c>
      <c r="F14" s="216"/>
      <c r="G14" s="214" t="s">
        <v>176</v>
      </c>
      <c r="H14" s="215"/>
      <c r="L14" s="203"/>
      <c r="P14" s="203"/>
    </row>
    <row r="15" customFormat="false" ht="12.75" hidden="false" customHeight="false" outlineLevel="0" collapsed="false">
      <c r="D15" s="190" t="s">
        <v>465</v>
      </c>
      <c r="E15" s="190" t="s">
        <v>466</v>
      </c>
      <c r="F15" s="216"/>
      <c r="G15" s="214" t="s">
        <v>176</v>
      </c>
      <c r="H15" s="215" t="n">
        <f aca="false">SUM('1.3 Frota Total'!C19:F25)*('2.1.b Veículos'!D9+'2.1.b Veículos'!F9)/2*('2.1.c Insumos'!F68/100)*0.01/12</f>
        <v>63.6852183333333</v>
      </c>
      <c r="L15" s="203"/>
      <c r="P15" s="203"/>
    </row>
    <row r="16" customFormat="false" ht="12.75" hidden="false" customHeight="false" outlineLevel="0" collapsed="false">
      <c r="D16" s="190" t="s">
        <v>467</v>
      </c>
      <c r="E16" s="190" t="s">
        <v>468</v>
      </c>
      <c r="F16" s="217"/>
      <c r="G16" s="214" t="s">
        <v>176</v>
      </c>
      <c r="H16" s="215"/>
      <c r="P16" s="203"/>
    </row>
    <row r="17" customFormat="false" ht="12.75" hidden="false" customHeight="false" outlineLevel="0" collapsed="false">
      <c r="F17" s="218"/>
      <c r="G17" s="218"/>
    </row>
    <row r="18" customFormat="false" ht="12.75" hidden="false" customHeight="false" outlineLevel="0" collapsed="false">
      <c r="B18" s="208" t="s">
        <v>469</v>
      </c>
      <c r="C18" s="209" t="s">
        <v>470</v>
      </c>
      <c r="D18" s="209"/>
      <c r="E18" s="209"/>
      <c r="F18" s="210" t="s">
        <v>176</v>
      </c>
      <c r="G18" s="211"/>
      <c r="H18" s="212" t="n">
        <f aca="false">SUM(H19:H20)</f>
        <v>151018.73524276</v>
      </c>
    </row>
    <row r="19" customFormat="false" ht="12.75" hidden="false" customHeight="false" outlineLevel="0" collapsed="false">
      <c r="D19" s="190" t="s">
        <v>471</v>
      </c>
      <c r="E19" s="190" t="s">
        <v>472</v>
      </c>
      <c r="F19" s="213"/>
      <c r="G19" s="214" t="s">
        <v>176</v>
      </c>
      <c r="H19" s="215" t="n">
        <f aca="false">(((('2.1.c Insumos'!F34*'2.1.c Insumos'!F42)+('2.1.c Insumos'!F35*'2.1.c Insumos'!F43)+('2.1.c Insumos'!F36*'2.1.c Insumos'!F44)+('2.1.c Insumos'!F37*'2.1.c Insumos'!F45))*((1+('2.1.c Insumos'!F50/100)))+(('2.1.c Insumos'!F38*'2.1.c Insumos'!F46)+('2.1.c Insumos'!F39*'2.1.c Insumos'!F47)+('2.1.c Insumos'!F40*'2.1.c Insumos'!F48)+('2.1.c Insumos'!F41*'2.1.c Insumos'!F49)))*10)</f>
        <v>107870.5251734</v>
      </c>
      <c r="N19" s="221"/>
      <c r="P19" s="222"/>
    </row>
    <row r="20" customFormat="false" ht="12.75" hidden="false" customHeight="false" outlineLevel="0" collapsed="false">
      <c r="D20" s="190" t="s">
        <v>473</v>
      </c>
      <c r="E20" s="190" t="s">
        <v>474</v>
      </c>
      <c r="F20" s="217"/>
      <c r="G20" s="214" t="s">
        <v>176</v>
      </c>
      <c r="H20" s="215" t="n">
        <f aca="false">H19*('2.1.c Insumos'!F51/100)</f>
        <v>43148.21006936</v>
      </c>
    </row>
    <row r="21" customFormat="false" ht="12.75" hidden="false" customHeight="false" outlineLevel="0" collapsed="false">
      <c r="F21" s="218"/>
      <c r="G21" s="218"/>
      <c r="N21" s="222"/>
    </row>
    <row r="22" customFormat="false" ht="12.75" hidden="false" customHeight="false" outlineLevel="0" collapsed="false">
      <c r="B22" s="192" t="s">
        <v>475</v>
      </c>
      <c r="C22" s="209" t="s">
        <v>476</v>
      </c>
      <c r="D22" s="209"/>
      <c r="E22" s="209"/>
      <c r="F22" s="210" t="s">
        <v>176</v>
      </c>
      <c r="G22" s="211"/>
      <c r="H22" s="212" t="n">
        <f aca="false">SUM(H23:H27)</f>
        <v>35193.5133333333</v>
      </c>
    </row>
    <row r="23" customFormat="false" ht="12.75" hidden="false" customHeight="false" outlineLevel="0" collapsed="false">
      <c r="D23" s="190" t="s">
        <v>477</v>
      </c>
      <c r="E23" s="190" t="s">
        <v>478</v>
      </c>
      <c r="F23" s="213"/>
      <c r="G23" s="214" t="s">
        <v>176</v>
      </c>
      <c r="H23" s="215" t="n">
        <f aca="false">'2.1.c Insumos'!F93/12</f>
        <v>30144.16</v>
      </c>
    </row>
    <row r="24" customFormat="false" ht="12.75" hidden="false" customHeight="false" outlineLevel="0" collapsed="false">
      <c r="D24" s="190" t="s">
        <v>479</v>
      </c>
      <c r="E24" s="190" t="s">
        <v>480</v>
      </c>
      <c r="F24" s="216"/>
      <c r="G24" s="214" t="s">
        <v>176</v>
      </c>
      <c r="H24" s="215" t="n">
        <f aca="false">'2.1.c Insumos'!F55/12</f>
        <v>121.253333333333</v>
      </c>
    </row>
    <row r="25" customFormat="false" ht="12.75" hidden="false" customHeight="false" outlineLevel="0" collapsed="false">
      <c r="D25" s="190" t="s">
        <v>481</v>
      </c>
      <c r="E25" s="190" t="s">
        <v>482</v>
      </c>
      <c r="F25" s="216"/>
      <c r="G25" s="214" t="s">
        <v>176</v>
      </c>
      <c r="H25" s="215" t="n">
        <v>4928.1</v>
      </c>
    </row>
    <row r="26" customFormat="false" ht="12.75" hidden="false" customHeight="false" outlineLevel="0" collapsed="false">
      <c r="D26" s="190" t="s">
        <v>483</v>
      </c>
      <c r="E26" s="190" t="s">
        <v>484</v>
      </c>
      <c r="F26" s="216"/>
      <c r="G26" s="214" t="s">
        <v>176</v>
      </c>
      <c r="H26" s="215" t="n">
        <f aca="false">'2.1.c Insumos'!F57/12</f>
        <v>0</v>
      </c>
    </row>
    <row r="27" customFormat="false" ht="12.75" hidden="false" customHeight="false" outlineLevel="0" collapsed="false">
      <c r="D27" s="190" t="s">
        <v>485</v>
      </c>
      <c r="E27" s="190" t="s">
        <v>486</v>
      </c>
      <c r="F27" s="217"/>
      <c r="G27" s="214" t="s">
        <v>176</v>
      </c>
      <c r="H27" s="215" t="n">
        <f aca="false">'2.1.c Insumos'!F83</f>
        <v>0</v>
      </c>
    </row>
    <row r="28" customFormat="false" ht="12.75" hidden="false" customHeight="false" outlineLevel="0" collapsed="false">
      <c r="F28" s="218"/>
      <c r="G28" s="218"/>
    </row>
    <row r="29" s="175" customFormat="true" ht="12.75" hidden="false" customHeight="false" outlineLevel="0" collapsed="false"/>
    <row r="30" customFormat="false" ht="12.75" hidden="false" customHeight="false" outlineLevel="0" collapsed="false">
      <c r="B30" s="208" t="s">
        <v>487</v>
      </c>
      <c r="C30" s="209" t="s">
        <v>488</v>
      </c>
      <c r="D30" s="209"/>
      <c r="E30" s="209"/>
      <c r="F30" s="223" t="s">
        <v>176</v>
      </c>
      <c r="G30" s="211"/>
      <c r="H30" s="212" t="n">
        <f aca="false">1020+4485</f>
        <v>5505</v>
      </c>
    </row>
    <row r="31" customFormat="false" ht="12.75" hidden="false" customHeight="false" outlineLevel="0" collapsed="false">
      <c r="B31" s="208" t="s">
        <v>489</v>
      </c>
      <c r="C31" s="209" t="s">
        <v>490</v>
      </c>
      <c r="D31" s="209"/>
      <c r="E31" s="209"/>
      <c r="F31" s="223" t="s">
        <v>176</v>
      </c>
      <c r="G31" s="211"/>
      <c r="H31" s="212" t="n">
        <f aca="false">'2.1.c Insumos'!F87</f>
        <v>0</v>
      </c>
    </row>
    <row r="32" s="175" customFormat="true" ht="12.75" hidden="false" customHeight="false" outlineLevel="0" collapsed="false">
      <c r="B32" s="224" t="s">
        <v>491</v>
      </c>
      <c r="C32" s="225" t="s">
        <v>492</v>
      </c>
      <c r="D32" s="226"/>
      <c r="E32" s="226"/>
      <c r="F32" s="223" t="s">
        <v>176</v>
      </c>
      <c r="G32" s="211"/>
      <c r="H32" s="212" t="n">
        <f aca="false">'2.1.c Insumos'!F88</f>
        <v>4000</v>
      </c>
    </row>
    <row r="36" customFormat="false" ht="12.75" hidden="false" customHeight="false" outlineLevel="0" collapsed="false">
      <c r="B36" s="224"/>
      <c r="C36" s="227"/>
      <c r="D36" s="227"/>
    </row>
    <row r="64" customFormat="false" ht="15" hidden="false" customHeight="false" outlineLevel="0" collapsed="false">
      <c r="L64" s="12"/>
    </row>
  </sheetData>
  <mergeCells count="8">
    <mergeCell ref="B1:E1"/>
    <mergeCell ref="C3:E3"/>
    <mergeCell ref="J3:M3"/>
    <mergeCell ref="C10:E10"/>
    <mergeCell ref="C18:E18"/>
    <mergeCell ref="C22:E22"/>
    <mergeCell ref="C30:E30"/>
    <mergeCell ref="C31:E3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A10" activeCellId="0" sqref="A10"/>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B1" activeCellId="0" sqref="B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60"/>
  <sheetViews>
    <sheetView showFormulas="false" showGridLines="true" showRowColHeaders="true" showZeros="true" rightToLeft="false" tabSelected="false" showOutlineSymbols="true" defaultGridColor="true" view="normal" topLeftCell="A30" colorId="64" zoomScale="100" zoomScaleNormal="100" zoomScalePageLayoutView="100" workbookViewId="0">
      <selection pane="topLeft" activeCell="B60" activeCellId="0" sqref="B60"/>
    </sheetView>
  </sheetViews>
  <sheetFormatPr defaultColWidth="11.53515625" defaultRowHeight="15" zeroHeight="true" outlineLevelRow="0" outlineLevelCol="0"/>
  <cols>
    <col collapsed="false" customWidth="true" hidden="false" outlineLevel="0" max="1" min="1" style="12" width="4.29"/>
    <col collapsed="false" customWidth="true" hidden="false" outlineLevel="0" max="2" min="2" style="12" width="15.42"/>
    <col collapsed="false" customWidth="true" hidden="false" outlineLevel="0" max="3" min="3" style="12" width="20.29"/>
    <col collapsed="false" customWidth="true" hidden="false" outlineLevel="0" max="9" min="4" style="12" width="12.71"/>
    <col collapsed="false" customWidth="true" hidden="false" outlineLevel="0" max="12" min="10" style="12" width="10.29"/>
    <col collapsed="false" customWidth="true" hidden="false" outlineLevel="0" max="13" min="13" style="12" width="9.42"/>
    <col collapsed="false" customWidth="true" hidden="false" outlineLevel="0" max="14" min="14" style="12" width="9.14"/>
    <col collapsed="false" customWidth="false" hidden="true" outlineLevel="0" max="1024" min="15" style="12" width="11.52"/>
  </cols>
  <sheetData>
    <row r="1" customFormat="false" ht="15.75" hidden="false" customHeight="false" outlineLevel="0" collapsed="false">
      <c r="A1" s="13" t="s">
        <v>15</v>
      </c>
      <c r="B1" s="13"/>
      <c r="C1" s="13"/>
      <c r="D1" s="13"/>
      <c r="E1" s="13"/>
      <c r="F1" s="13"/>
      <c r="G1" s="13"/>
      <c r="H1" s="13"/>
      <c r="I1" s="13"/>
      <c r="J1" s="13"/>
      <c r="K1" s="13"/>
      <c r="L1" s="13"/>
    </row>
    <row r="2" customFormat="false" ht="15.75" hidden="false" customHeight="false" outlineLevel="0" collapsed="false">
      <c r="A2" s="14"/>
      <c r="F2" s="14"/>
      <c r="G2" s="14"/>
      <c r="H2" s="15" t="s">
        <v>16</v>
      </c>
      <c r="I2" s="15"/>
      <c r="J2" s="15"/>
      <c r="K2" s="15"/>
      <c r="L2" s="14"/>
    </row>
    <row r="3" customFormat="false" ht="15" hidden="false" customHeight="false" outlineLevel="0" collapsed="false">
      <c r="A3" s="16" t="s">
        <v>17</v>
      </c>
      <c r="B3" s="14"/>
      <c r="C3" s="14"/>
      <c r="F3" s="14"/>
      <c r="G3" s="14"/>
      <c r="H3" s="17"/>
      <c r="I3" s="18"/>
      <c r="J3" s="18"/>
      <c r="K3" s="19"/>
      <c r="L3" s="14"/>
    </row>
    <row r="4" customFormat="false" ht="15" hidden="false" customHeight="false" outlineLevel="0" collapsed="false">
      <c r="A4" s="14"/>
      <c r="B4" s="14"/>
      <c r="C4" s="14"/>
      <c r="F4" s="14"/>
      <c r="G4" s="14"/>
      <c r="H4" s="20"/>
      <c r="I4" s="21"/>
      <c r="J4" s="22" t="s">
        <v>18</v>
      </c>
      <c r="K4" s="23"/>
      <c r="L4" s="14"/>
    </row>
    <row r="5" customFormat="false" ht="15" hidden="false" customHeight="false" outlineLevel="0" collapsed="false">
      <c r="B5" s="24" t="s">
        <v>19</v>
      </c>
      <c r="C5" s="25"/>
      <c r="D5" s="26" t="n">
        <v>0</v>
      </c>
      <c r="F5" s="14"/>
      <c r="G5" s="14"/>
      <c r="H5" s="20"/>
      <c r="I5" s="27"/>
      <c r="J5" s="22" t="s">
        <v>20</v>
      </c>
      <c r="K5" s="23"/>
      <c r="L5" s="14"/>
    </row>
    <row r="6" customFormat="false" ht="15" hidden="false" customHeight="false" outlineLevel="0" collapsed="false">
      <c r="B6" s="24" t="s">
        <v>21</v>
      </c>
      <c r="C6" s="25"/>
      <c r="D6" s="26" t="n">
        <v>0</v>
      </c>
      <c r="F6" s="14"/>
      <c r="G6" s="14"/>
      <c r="H6" s="20"/>
      <c r="I6" s="28"/>
      <c r="J6" s="22" t="s">
        <v>22</v>
      </c>
      <c r="K6" s="23"/>
      <c r="L6" s="14"/>
    </row>
    <row r="7" customFormat="false" ht="15.75" hidden="false" customHeight="false" outlineLevel="0" collapsed="false">
      <c r="B7" s="24" t="s">
        <v>23</v>
      </c>
      <c r="C7" s="25"/>
      <c r="D7" s="26" t="n">
        <v>0</v>
      </c>
      <c r="F7" s="14"/>
      <c r="G7" s="14"/>
      <c r="H7" s="29"/>
      <c r="I7" s="30"/>
      <c r="J7" s="30"/>
      <c r="K7" s="31"/>
      <c r="L7" s="14"/>
    </row>
    <row r="8" customFormat="false" ht="15" hidden="false" customHeight="false" outlineLevel="0" collapsed="false">
      <c r="B8" s="24" t="s">
        <v>24</v>
      </c>
      <c r="C8" s="25"/>
      <c r="D8" s="26" t="n">
        <v>0</v>
      </c>
      <c r="F8" s="14"/>
      <c r="G8" s="14"/>
      <c r="H8" s="14"/>
      <c r="I8" s="14"/>
      <c r="J8" s="14"/>
      <c r="K8" s="14"/>
      <c r="L8" s="14"/>
    </row>
    <row r="9" customFormat="false" ht="15" hidden="false" customHeight="false" outlineLevel="0" collapsed="false">
      <c r="B9" s="24" t="s">
        <v>25</v>
      </c>
      <c r="C9" s="25"/>
      <c r="D9" s="32" t="n">
        <v>0</v>
      </c>
      <c r="F9" s="14"/>
      <c r="G9" s="14"/>
      <c r="H9" s="14"/>
      <c r="I9" s="14"/>
      <c r="J9" s="14"/>
      <c r="K9" s="14"/>
      <c r="L9" s="14"/>
    </row>
    <row r="10" customFormat="false" ht="15" hidden="false" customHeight="false" outlineLevel="0" collapsed="false">
      <c r="D10" s="14"/>
      <c r="E10" s="14"/>
      <c r="F10" s="14"/>
      <c r="G10" s="14"/>
      <c r="H10" s="14"/>
      <c r="I10" s="14"/>
      <c r="J10" s="14"/>
      <c r="K10" s="14"/>
      <c r="L10" s="14"/>
    </row>
    <row r="11" customFormat="false" ht="15" hidden="false" customHeight="false" outlineLevel="0" collapsed="false">
      <c r="B11" s="33" t="s">
        <v>26</v>
      </c>
      <c r="C11" s="34"/>
      <c r="D11" s="35" t="n">
        <f aca="false">D5+D6+D7+D8+D9+D57</f>
        <v>0</v>
      </c>
      <c r="E11" s="14"/>
      <c r="F11" s="14"/>
      <c r="G11" s="14"/>
      <c r="H11" s="14"/>
      <c r="I11" s="14"/>
      <c r="J11" s="14"/>
      <c r="K11" s="14"/>
      <c r="L11" s="14"/>
    </row>
    <row r="12" customFormat="false" ht="15" hidden="false" customHeight="false" outlineLevel="0" collapsed="false">
      <c r="A12" s="14"/>
      <c r="B12" s="14"/>
      <c r="C12" s="14"/>
      <c r="D12" s="14"/>
      <c r="E12" s="14"/>
      <c r="F12" s="14"/>
      <c r="G12" s="14"/>
      <c r="H12" s="14"/>
      <c r="I12" s="14"/>
      <c r="J12" s="14"/>
      <c r="K12" s="14"/>
      <c r="L12" s="14"/>
    </row>
    <row r="13" customFormat="false" ht="15" hidden="false" customHeight="false" outlineLevel="0" collapsed="false">
      <c r="A13" s="16" t="s">
        <v>27</v>
      </c>
      <c r="B13" s="14"/>
      <c r="C13" s="14"/>
      <c r="D13" s="14"/>
      <c r="E13" s="14"/>
      <c r="F13" s="14"/>
      <c r="G13" s="14"/>
      <c r="H13" s="14"/>
      <c r="I13" s="14"/>
      <c r="J13" s="14"/>
      <c r="K13" s="14"/>
      <c r="L13" s="14"/>
    </row>
    <row r="14" customFormat="false" ht="15" hidden="false" customHeight="false" outlineLevel="0" collapsed="false">
      <c r="A14" s="14"/>
      <c r="B14" s="14"/>
      <c r="C14" s="14"/>
      <c r="D14" s="14"/>
      <c r="E14" s="14"/>
      <c r="F14" s="14"/>
      <c r="G14" s="14"/>
      <c r="H14" s="14"/>
      <c r="I14" s="14"/>
      <c r="J14" s="14"/>
      <c r="K14" s="14"/>
      <c r="L14" s="14"/>
    </row>
    <row r="15" customFormat="false" ht="15" hidden="false" customHeight="false" outlineLevel="0" collapsed="false">
      <c r="A15" s="36" t="s">
        <v>28</v>
      </c>
      <c r="B15" s="36"/>
      <c r="C15" s="36"/>
      <c r="D15" s="36"/>
      <c r="E15" s="36"/>
      <c r="F15" s="36"/>
      <c r="G15" s="36"/>
      <c r="H15" s="36"/>
      <c r="I15" s="36"/>
      <c r="J15" s="36"/>
      <c r="K15" s="36"/>
      <c r="L15" s="36"/>
    </row>
    <row r="16" customFormat="false" ht="15" hidden="false" customHeight="false" outlineLevel="0" collapsed="false">
      <c r="A16" s="36"/>
      <c r="B16" s="36"/>
      <c r="C16" s="36"/>
      <c r="D16" s="36"/>
      <c r="E16" s="36"/>
      <c r="F16" s="36"/>
      <c r="G16" s="36"/>
      <c r="H16" s="36"/>
      <c r="I16" s="36"/>
      <c r="J16" s="36"/>
      <c r="K16" s="36"/>
      <c r="L16" s="36"/>
    </row>
    <row r="17" customFormat="false" ht="15.75" hidden="false" customHeight="true" outlineLevel="0" collapsed="false">
      <c r="B17" s="37" t="s">
        <v>29</v>
      </c>
      <c r="C17" s="37"/>
      <c r="D17" s="37"/>
      <c r="E17" s="37"/>
      <c r="F17" s="37"/>
      <c r="G17" s="37"/>
      <c r="H17" s="37"/>
      <c r="I17" s="37"/>
      <c r="J17" s="37"/>
      <c r="K17" s="37"/>
    </row>
    <row r="18" customFormat="false" ht="18" hidden="false" customHeight="true" outlineLevel="0" collapsed="false">
      <c r="B18" s="38" t="s">
        <v>30</v>
      </c>
      <c r="C18" s="38" t="s">
        <v>31</v>
      </c>
      <c r="D18" s="38" t="s">
        <v>32</v>
      </c>
      <c r="E18" s="38" t="s">
        <v>33</v>
      </c>
      <c r="F18" s="38" t="s">
        <v>34</v>
      </c>
      <c r="G18" s="38" t="s">
        <v>35</v>
      </c>
      <c r="H18" s="38" t="s">
        <v>36</v>
      </c>
      <c r="I18" s="38" t="s">
        <v>37</v>
      </c>
      <c r="J18" s="38" t="s">
        <v>38</v>
      </c>
      <c r="K18" s="38" t="s">
        <v>39</v>
      </c>
    </row>
    <row r="19" customFormat="false" ht="15" hidden="false" customHeight="true" outlineLevel="0" collapsed="false">
      <c r="B19" s="39"/>
      <c r="C19" s="39"/>
      <c r="D19" s="39"/>
      <c r="E19" s="39"/>
      <c r="F19" s="39"/>
      <c r="G19" s="39"/>
      <c r="H19" s="39"/>
      <c r="I19" s="39"/>
      <c r="J19" s="39"/>
      <c r="K19" s="39"/>
    </row>
    <row r="20" customFormat="false" ht="15" hidden="false" customHeight="false" outlineLevel="0" collapsed="false">
      <c r="B20" s="40"/>
      <c r="C20" s="40"/>
      <c r="D20" s="40"/>
      <c r="E20" s="40"/>
      <c r="F20" s="40"/>
      <c r="G20" s="40"/>
      <c r="H20" s="40"/>
      <c r="I20" s="40"/>
      <c r="J20" s="40"/>
      <c r="K20" s="40"/>
      <c r="L20" s="40"/>
      <c r="M20" s="41"/>
    </row>
    <row r="21" customFormat="false" ht="15" hidden="false" customHeight="false" outlineLevel="0" collapsed="false">
      <c r="A21" s="16" t="s">
        <v>40</v>
      </c>
      <c r="B21" s="14"/>
      <c r="C21" s="14"/>
      <c r="D21" s="14"/>
      <c r="E21" s="14"/>
      <c r="F21" s="40"/>
      <c r="G21" s="40"/>
      <c r="H21" s="40"/>
      <c r="I21" s="40"/>
      <c r="J21" s="40"/>
      <c r="K21" s="40"/>
      <c r="L21" s="40"/>
      <c r="M21" s="41"/>
    </row>
    <row r="22" customFormat="false" ht="15" hidden="false" customHeight="false" outlineLevel="0" collapsed="false">
      <c r="A22" s="42"/>
      <c r="B22" s="43" t="s">
        <v>41</v>
      </c>
      <c r="C22" s="43"/>
      <c r="D22" s="44" t="s">
        <v>42</v>
      </c>
      <c r="E22" s="14" t="s">
        <v>43</v>
      </c>
      <c r="F22" s="40"/>
      <c r="G22" s="40"/>
      <c r="H22" s="40"/>
      <c r="I22" s="40"/>
      <c r="J22" s="40"/>
      <c r="K22" s="40"/>
      <c r="L22" s="40"/>
      <c r="M22" s="41"/>
    </row>
    <row r="23" customFormat="false" ht="15" hidden="false" customHeight="true" outlineLevel="0" collapsed="false">
      <c r="A23" s="42"/>
      <c r="B23" s="45" t="s">
        <v>44</v>
      </c>
      <c r="C23" s="45"/>
      <c r="D23" s="44"/>
      <c r="E23" s="14" t="s">
        <v>45</v>
      </c>
      <c r="F23" s="40"/>
      <c r="G23" s="40"/>
      <c r="H23" s="40"/>
      <c r="I23" s="40"/>
      <c r="J23" s="40"/>
      <c r="K23" s="40"/>
      <c r="L23" s="40"/>
      <c r="M23" s="41"/>
    </row>
    <row r="24" customFormat="false" ht="15" hidden="false" customHeight="false" outlineLevel="0" collapsed="false">
      <c r="B24" s="40"/>
      <c r="C24" s="40"/>
      <c r="D24" s="40"/>
      <c r="E24" s="40"/>
      <c r="F24" s="40"/>
      <c r="G24" s="40"/>
      <c r="H24" s="40"/>
      <c r="I24" s="40"/>
      <c r="J24" s="40"/>
      <c r="K24" s="40"/>
      <c r="L24" s="40"/>
      <c r="M24" s="41"/>
    </row>
    <row r="25" customFormat="false" ht="15" hidden="false" customHeight="false" outlineLevel="0" collapsed="false">
      <c r="A25" s="36" t="s">
        <v>46</v>
      </c>
      <c r="B25" s="36"/>
      <c r="C25" s="36"/>
      <c r="D25" s="36"/>
      <c r="E25" s="36"/>
      <c r="F25" s="36"/>
      <c r="G25" s="36"/>
      <c r="H25" s="36"/>
      <c r="I25" s="36"/>
      <c r="J25" s="36"/>
      <c r="K25" s="36"/>
      <c r="L25" s="36"/>
      <c r="M25" s="41"/>
    </row>
    <row r="26" customFormat="false" ht="15" hidden="false" customHeight="false" outlineLevel="0" collapsed="false">
      <c r="A26" s="36"/>
      <c r="B26" s="36"/>
      <c r="C26" s="36"/>
      <c r="D26" s="36"/>
      <c r="E26" s="36"/>
      <c r="F26" s="36"/>
      <c r="G26" s="36"/>
      <c r="H26" s="36"/>
      <c r="I26" s="36"/>
      <c r="J26" s="36"/>
      <c r="K26" s="36"/>
      <c r="L26" s="36"/>
      <c r="M26" s="41"/>
    </row>
    <row r="27" customFormat="false" ht="15" hidden="false" customHeight="false" outlineLevel="0" collapsed="false">
      <c r="B27" s="40"/>
      <c r="C27" s="37" t="s">
        <v>47</v>
      </c>
      <c r="D27" s="37"/>
      <c r="E27" s="37"/>
      <c r="F27" s="37"/>
      <c r="G27" s="37"/>
      <c r="H27" s="37"/>
      <c r="I27" s="37"/>
      <c r="J27" s="37"/>
      <c r="K27" s="37"/>
      <c r="L27" s="37"/>
    </row>
    <row r="28" customFormat="false" ht="18" hidden="false" customHeight="true" outlineLevel="0" collapsed="false">
      <c r="B28" s="40"/>
      <c r="C28" s="38" t="s">
        <v>30</v>
      </c>
      <c r="D28" s="38" t="s">
        <v>31</v>
      </c>
      <c r="E28" s="38" t="s">
        <v>32</v>
      </c>
      <c r="F28" s="38" t="s">
        <v>33</v>
      </c>
      <c r="G28" s="38" t="s">
        <v>34</v>
      </c>
      <c r="H28" s="38" t="s">
        <v>35</v>
      </c>
      <c r="I28" s="38" t="s">
        <v>36</v>
      </c>
      <c r="J28" s="38" t="s">
        <v>37</v>
      </c>
      <c r="K28" s="38" t="s">
        <v>38</v>
      </c>
      <c r="L28" s="38" t="s">
        <v>39</v>
      </c>
    </row>
    <row r="29" customFormat="false" ht="15" hidden="false" customHeight="false" outlineLevel="0" collapsed="false">
      <c r="A29" s="46" t="s">
        <v>48</v>
      </c>
      <c r="B29" s="38" t="s">
        <v>49</v>
      </c>
      <c r="C29" s="47"/>
      <c r="D29" s="21"/>
      <c r="E29" s="21"/>
      <c r="F29" s="21"/>
      <c r="G29" s="21"/>
      <c r="H29" s="21"/>
      <c r="I29" s="21"/>
      <c r="J29" s="21"/>
      <c r="K29" s="21"/>
      <c r="L29" s="21"/>
    </row>
    <row r="30" customFormat="false" ht="15" hidden="false" customHeight="false" outlineLevel="0" collapsed="false">
      <c r="A30" s="46"/>
      <c r="B30" s="38" t="s">
        <v>50</v>
      </c>
      <c r="C30" s="47"/>
      <c r="D30" s="21"/>
      <c r="E30" s="21"/>
      <c r="F30" s="21"/>
      <c r="G30" s="21"/>
      <c r="H30" s="21"/>
      <c r="I30" s="21"/>
      <c r="J30" s="21"/>
      <c r="K30" s="21"/>
      <c r="L30" s="21"/>
    </row>
    <row r="31" customFormat="false" ht="15" hidden="false" customHeight="false" outlineLevel="0" collapsed="false">
      <c r="A31" s="46"/>
      <c r="B31" s="38" t="s">
        <v>51</v>
      </c>
      <c r="C31" s="47"/>
      <c r="D31" s="21"/>
      <c r="E31" s="21"/>
      <c r="F31" s="21"/>
      <c r="G31" s="21"/>
      <c r="H31" s="21"/>
      <c r="I31" s="21"/>
      <c r="J31" s="21"/>
      <c r="K31" s="21"/>
      <c r="L31" s="21"/>
    </row>
    <row r="32" customFormat="false" ht="15" hidden="false" customHeight="false" outlineLevel="0" collapsed="false">
      <c r="A32" s="46"/>
      <c r="B32" s="38" t="s">
        <v>52</v>
      </c>
      <c r="C32" s="47"/>
      <c r="D32" s="21"/>
      <c r="E32" s="21"/>
      <c r="F32" s="21"/>
      <c r="G32" s="21"/>
      <c r="H32" s="21"/>
      <c r="I32" s="21"/>
      <c r="J32" s="21"/>
      <c r="K32" s="21"/>
      <c r="L32" s="21"/>
    </row>
    <row r="33" customFormat="false" ht="15" hidden="false" customHeight="false" outlineLevel="0" collapsed="false">
      <c r="A33" s="46"/>
      <c r="B33" s="38" t="s">
        <v>53</v>
      </c>
      <c r="C33" s="47"/>
      <c r="D33" s="21"/>
      <c r="E33" s="21"/>
      <c r="F33" s="21"/>
      <c r="G33" s="21"/>
      <c r="H33" s="21"/>
      <c r="I33" s="21"/>
      <c r="J33" s="21"/>
      <c r="K33" s="21"/>
      <c r="L33" s="21"/>
    </row>
    <row r="34" customFormat="false" ht="15" hidden="false" customHeight="false" outlineLevel="0" collapsed="false">
      <c r="A34" s="46"/>
      <c r="B34" s="38" t="s">
        <v>54</v>
      </c>
      <c r="C34" s="47"/>
      <c r="D34" s="21"/>
      <c r="E34" s="21"/>
      <c r="F34" s="21"/>
      <c r="G34" s="21"/>
      <c r="H34" s="21"/>
      <c r="I34" s="21"/>
      <c r="J34" s="21"/>
      <c r="K34" s="21"/>
      <c r="L34" s="21"/>
    </row>
    <row r="35" customFormat="false" ht="15" hidden="false" customHeight="false" outlineLevel="0" collapsed="false">
      <c r="A35" s="46"/>
      <c r="B35" s="38" t="s">
        <v>55</v>
      </c>
      <c r="C35" s="47"/>
      <c r="D35" s="21"/>
      <c r="E35" s="21"/>
      <c r="F35" s="21"/>
      <c r="G35" s="21"/>
      <c r="H35" s="21"/>
      <c r="I35" s="21"/>
      <c r="J35" s="21"/>
      <c r="K35" s="21"/>
      <c r="L35" s="21"/>
    </row>
    <row r="36" customFormat="false" ht="15" hidden="false" customHeight="false" outlineLevel="0" collapsed="false">
      <c r="A36" s="46"/>
      <c r="B36" s="38" t="s">
        <v>56</v>
      </c>
      <c r="C36" s="47"/>
      <c r="D36" s="21"/>
      <c r="E36" s="21"/>
      <c r="F36" s="21"/>
      <c r="G36" s="21"/>
      <c r="H36" s="21"/>
      <c r="I36" s="21"/>
      <c r="J36" s="21"/>
      <c r="K36" s="21"/>
      <c r="L36" s="21"/>
    </row>
    <row r="37" customFormat="false" ht="15" hidden="false" customHeight="true" outlineLevel="0" collapsed="false">
      <c r="A37" s="46"/>
      <c r="B37" s="38" t="s">
        <v>57</v>
      </c>
      <c r="C37" s="47"/>
      <c r="D37" s="21"/>
      <c r="E37" s="21"/>
      <c r="F37" s="21"/>
      <c r="G37" s="21"/>
      <c r="H37" s="21"/>
      <c r="I37" s="21"/>
      <c r="J37" s="21"/>
      <c r="K37" s="21"/>
      <c r="L37" s="21"/>
    </row>
    <row r="38" customFormat="false" ht="15" hidden="false" customHeight="false" outlineLevel="0" collapsed="false">
      <c r="A38" s="46"/>
      <c r="B38" s="38" t="s">
        <v>58</v>
      </c>
      <c r="C38" s="47"/>
      <c r="D38" s="21"/>
      <c r="E38" s="21"/>
      <c r="F38" s="21"/>
      <c r="G38" s="21"/>
      <c r="H38" s="21"/>
      <c r="I38" s="21"/>
      <c r="J38" s="21"/>
      <c r="K38" s="21"/>
      <c r="L38" s="21"/>
    </row>
    <row r="39" customFormat="false" ht="15" hidden="false" customHeight="false" outlineLevel="0" collapsed="false">
      <c r="A39" s="46"/>
      <c r="B39" s="38" t="s">
        <v>59</v>
      </c>
      <c r="C39" s="47"/>
      <c r="D39" s="21"/>
      <c r="E39" s="21"/>
      <c r="F39" s="21"/>
      <c r="G39" s="21"/>
      <c r="H39" s="21"/>
      <c r="I39" s="21"/>
      <c r="J39" s="21"/>
      <c r="K39" s="21"/>
      <c r="L39" s="21"/>
    </row>
    <row r="40" customFormat="false" ht="15" hidden="false" customHeight="false" outlineLevel="0" collapsed="false">
      <c r="A40" s="46"/>
      <c r="B40" s="38" t="s">
        <v>60</v>
      </c>
      <c r="C40" s="47"/>
      <c r="D40" s="21"/>
      <c r="E40" s="21"/>
      <c r="F40" s="21"/>
      <c r="G40" s="21"/>
      <c r="H40" s="21"/>
      <c r="I40" s="21"/>
      <c r="J40" s="21"/>
      <c r="K40" s="21"/>
      <c r="L40" s="21"/>
    </row>
    <row r="41" customFormat="false" ht="15" hidden="false" customHeight="false" outlineLevel="0" collapsed="false">
      <c r="B41" s="40"/>
      <c r="C41" s="40"/>
      <c r="D41" s="40"/>
      <c r="E41" s="40"/>
      <c r="F41" s="40"/>
      <c r="G41" s="40"/>
      <c r="H41" s="40"/>
      <c r="I41" s="40"/>
      <c r="J41" s="40"/>
      <c r="K41" s="40"/>
      <c r="L41" s="40"/>
    </row>
    <row r="42" customFormat="false" ht="15" hidden="false" customHeight="false" outlineLevel="0" collapsed="false">
      <c r="A42" s="48" t="s">
        <v>61</v>
      </c>
      <c r="B42" s="48"/>
      <c r="C42" s="48"/>
      <c r="D42" s="48"/>
      <c r="E42" s="48"/>
      <c r="F42" s="48"/>
      <c r="G42" s="48"/>
      <c r="H42" s="48"/>
      <c r="I42" s="48"/>
      <c r="J42" s="48"/>
      <c r="K42" s="48"/>
      <c r="L42" s="48"/>
    </row>
    <row r="43" customFormat="false" ht="15" hidden="false" customHeight="false" outlineLevel="0" collapsed="false">
      <c r="A43" s="14"/>
      <c r="B43" s="14"/>
      <c r="C43" s="14"/>
      <c r="D43" s="14"/>
      <c r="E43" s="14"/>
      <c r="F43" s="14"/>
      <c r="G43" s="14"/>
      <c r="H43" s="14"/>
      <c r="I43" s="14"/>
      <c r="J43" s="14"/>
      <c r="K43" s="14"/>
      <c r="L43" s="14"/>
    </row>
    <row r="44" customFormat="false" ht="18" hidden="false" customHeight="true" outlineLevel="0" collapsed="false">
      <c r="A44" s="14"/>
      <c r="B44" s="14"/>
      <c r="C44" s="38" t="s">
        <v>30</v>
      </c>
      <c r="D44" s="38" t="s">
        <v>31</v>
      </c>
      <c r="E44" s="38" t="s">
        <v>32</v>
      </c>
      <c r="F44" s="38" t="s">
        <v>33</v>
      </c>
      <c r="G44" s="38" t="s">
        <v>34</v>
      </c>
      <c r="H44" s="38" t="s">
        <v>35</v>
      </c>
      <c r="I44" s="38" t="s">
        <v>36</v>
      </c>
      <c r="J44" s="38" t="s">
        <v>37</v>
      </c>
      <c r="K44" s="38" t="s">
        <v>38</v>
      </c>
      <c r="L44" s="38" t="s">
        <v>39</v>
      </c>
      <c r="M44" s="49"/>
    </row>
    <row r="45" customFormat="false" ht="15" hidden="false" customHeight="true" outlineLevel="0" collapsed="false">
      <c r="A45" s="50" t="s">
        <v>62</v>
      </c>
      <c r="B45" s="50"/>
      <c r="C45" s="21"/>
      <c r="D45" s="21"/>
      <c r="E45" s="21"/>
      <c r="F45" s="21"/>
      <c r="G45" s="21"/>
      <c r="H45" s="21"/>
      <c r="I45" s="21"/>
      <c r="J45" s="21"/>
      <c r="K45" s="21"/>
      <c r="L45" s="21"/>
      <c r="M45" s="49"/>
    </row>
    <row r="46" customFormat="false" ht="15" hidden="false" customHeight="false" outlineLevel="0" collapsed="false">
      <c r="A46" s="50"/>
      <c r="B46" s="50"/>
      <c r="C46" s="21"/>
      <c r="D46" s="21"/>
      <c r="E46" s="21"/>
      <c r="F46" s="21"/>
      <c r="G46" s="21"/>
      <c r="H46" s="21"/>
      <c r="I46" s="21"/>
      <c r="J46" s="21"/>
      <c r="K46" s="21"/>
      <c r="L46" s="21"/>
      <c r="M46" s="49"/>
    </row>
    <row r="47" customFormat="false" ht="15" hidden="false" customHeight="false" outlineLevel="0" collapsed="false"/>
    <row r="48" customFormat="false" ht="15" hidden="false" customHeight="false" outlineLevel="0" collapsed="false">
      <c r="A48" s="51" t="s">
        <v>63</v>
      </c>
      <c r="B48" s="51"/>
      <c r="C48" s="51"/>
      <c r="D48" s="51"/>
      <c r="E48" s="51"/>
      <c r="F48" s="51"/>
      <c r="G48" s="51"/>
      <c r="H48" s="51"/>
      <c r="I48" s="51"/>
      <c r="J48" s="51"/>
      <c r="K48" s="51"/>
      <c r="L48" s="51"/>
    </row>
    <row r="49" customFormat="false" ht="15" hidden="false" customHeight="false" outlineLevel="0" collapsed="false">
      <c r="A49" s="14"/>
      <c r="B49" s="14"/>
      <c r="C49" s="14"/>
      <c r="D49" s="14"/>
      <c r="E49" s="14"/>
      <c r="F49" s="14"/>
      <c r="G49" s="14"/>
      <c r="H49" s="14"/>
      <c r="I49" s="14"/>
      <c r="J49" s="14"/>
      <c r="K49" s="14"/>
      <c r="L49" s="14"/>
    </row>
    <row r="50" customFormat="false" ht="15" hidden="false" customHeight="false" outlineLevel="0" collapsed="false">
      <c r="C50" s="52" t="s">
        <v>64</v>
      </c>
      <c r="D50" s="52"/>
      <c r="E50" s="52"/>
      <c r="F50" s="52"/>
      <c r="G50" s="52"/>
      <c r="H50" s="52"/>
      <c r="I50" s="52"/>
      <c r="J50" s="52"/>
      <c r="K50" s="52"/>
      <c r="L50" s="52"/>
    </row>
    <row r="51" customFormat="false" ht="18" hidden="false" customHeight="false" outlineLevel="0" collapsed="false">
      <c r="C51" s="53" t="s">
        <v>65</v>
      </c>
      <c r="D51" s="53" t="s">
        <v>66</v>
      </c>
      <c r="E51" s="53" t="s">
        <v>67</v>
      </c>
      <c r="F51" s="53" t="s">
        <v>68</v>
      </c>
      <c r="G51" s="53" t="s">
        <v>69</v>
      </c>
      <c r="H51" s="53" t="s">
        <v>70</v>
      </c>
      <c r="I51" s="53" t="s">
        <v>71</v>
      </c>
      <c r="J51" s="53" t="s">
        <v>72</v>
      </c>
      <c r="K51" s="53" t="s">
        <v>73</v>
      </c>
      <c r="L51" s="53" t="s">
        <v>74</v>
      </c>
    </row>
    <row r="52" customFormat="false" ht="15" hidden="false" customHeight="false" outlineLevel="0" collapsed="false">
      <c r="C52" s="54" t="str">
        <f aca="false">IFERROR(IF($D$22&lt;&gt;0,AVERAGE(C29:C40)*B19,C45*B19),"")</f>
        <v/>
      </c>
      <c r="D52" s="54" t="str">
        <f aca="false">IFERROR(IF($D$22&lt;&gt;0,AVERAGE(D29:D40)*C19,D45*C19),"")</f>
        <v/>
      </c>
      <c r="E52" s="54" t="str">
        <f aca="false">IFERROR(IF($D$22&lt;&gt;0,AVERAGE(E29:E40)*D19,E45*D19),"")</f>
        <v/>
      </c>
      <c r="F52" s="54" t="str">
        <f aca="false">IFERROR(IF($D$22&lt;&gt;0,AVERAGE(F29:F40)*E19,F45*E19),"")</f>
        <v/>
      </c>
      <c r="G52" s="54" t="str">
        <f aca="false">IFERROR(IF($D$22&lt;&gt;0,AVERAGE(G29:G40)*F19,G45*F19),"")</f>
        <v/>
      </c>
      <c r="H52" s="54" t="str">
        <f aca="false">IFERROR(IF($D$22&lt;&gt;0,AVERAGE(H29:H40)*G19,H45*G19),"")</f>
        <v/>
      </c>
      <c r="I52" s="54" t="str">
        <f aca="false">IFERROR(IF($D$22&lt;&gt;0,AVERAGE(I29:I40)*H19,I45*H19),"")</f>
        <v/>
      </c>
      <c r="J52" s="54" t="str">
        <f aca="false">IFERROR(IF($D$22&lt;&gt;0,AVERAGE(J29:J40)*I19,J45*I19),"")</f>
        <v/>
      </c>
      <c r="K52" s="54" t="str">
        <f aca="false">IFERROR(IF($D$22&lt;&gt;0,AVERAGE(K29:K40)*J19,K45*J19),"")</f>
        <v/>
      </c>
      <c r="L52" s="54" t="str">
        <f aca="false">IFERROR(IF($D$22&lt;&gt;0,AVERAGE(L29:L40)*K19,L45*K19),"")</f>
        <v/>
      </c>
    </row>
    <row r="53" customFormat="false" ht="15" hidden="false" customHeight="false" outlineLevel="0" collapsed="false"/>
    <row r="54" customFormat="false" ht="15" hidden="false" customHeight="false" outlineLevel="0" collapsed="false"/>
    <row r="55" customFormat="false" ht="15" hidden="false" customHeight="false" outlineLevel="0" collapsed="false">
      <c r="A55" s="48" t="s">
        <v>75</v>
      </c>
      <c r="B55" s="48"/>
      <c r="C55" s="48"/>
      <c r="D55" s="48"/>
      <c r="E55" s="48"/>
      <c r="F55" s="48"/>
      <c r="G55" s="48"/>
      <c r="H55" s="48"/>
      <c r="I55" s="48"/>
      <c r="J55" s="48"/>
      <c r="K55" s="48"/>
      <c r="L55" s="48"/>
    </row>
    <row r="56" customFormat="false" ht="15" hidden="false" customHeight="false" outlineLevel="0" collapsed="false"/>
    <row r="57" customFormat="false" ht="15" hidden="false" customHeight="false" outlineLevel="0" collapsed="false">
      <c r="B57" s="24" t="s">
        <v>76</v>
      </c>
      <c r="C57" s="25"/>
      <c r="D57" s="55"/>
    </row>
    <row r="58" customFormat="false" ht="15" hidden="false" customHeight="false" outlineLevel="0" collapsed="false"/>
    <row r="59" customFormat="false" ht="15" hidden="false" customHeight="false" outlineLevel="0" collapsed="false"/>
    <row r="60" customFormat="false" ht="15" hidden="false" customHeight="false" outlineLevel="0" collapsed="false"/>
  </sheetData>
  <mergeCells count="20">
    <mergeCell ref="A1:L1"/>
    <mergeCell ref="H2:K2"/>
    <mergeCell ref="B17:K17"/>
    <mergeCell ref="B22:C22"/>
    <mergeCell ref="B23:C23"/>
    <mergeCell ref="C27:L27"/>
    <mergeCell ref="A29:A40"/>
    <mergeCell ref="A45:B46"/>
    <mergeCell ref="C45:C46"/>
    <mergeCell ref="D45:D46"/>
    <mergeCell ref="E45:E46"/>
    <mergeCell ref="F45:F46"/>
    <mergeCell ref="G45:G46"/>
    <mergeCell ref="H45:H46"/>
    <mergeCell ref="I45:I46"/>
    <mergeCell ref="J45:J46"/>
    <mergeCell ref="K45:K46"/>
    <mergeCell ref="L45:L46"/>
    <mergeCell ref="A48:L48"/>
    <mergeCell ref="C50:L50"/>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M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1" activeCellId="0" sqref="E11"/>
    </sheetView>
  </sheetViews>
  <sheetFormatPr defaultColWidth="11.43359375" defaultRowHeight="12.75" zeroHeight="false" outlineLevelRow="0" outlineLevelCol="0"/>
  <cols>
    <col collapsed="false" customWidth="true" hidden="false" outlineLevel="0" max="1" min="1" style="0" width="5.28"/>
    <col collapsed="false" customWidth="true" hidden="false" outlineLevel="0" max="2" min="2" style="190" width="6.15"/>
    <col collapsed="false" customWidth="true" hidden="false" outlineLevel="0" max="3" min="3" style="190" width="3.71"/>
    <col collapsed="false" customWidth="true" hidden="false" outlineLevel="0" max="4" min="4" style="190" width="7.86"/>
    <col collapsed="false" customWidth="true" hidden="false" outlineLevel="0" max="5" min="5" style="190" width="53.71"/>
    <col collapsed="false" customWidth="true" hidden="false" outlineLevel="0" max="7" min="6" style="191" width="3.29"/>
    <col collapsed="false" customWidth="true" hidden="false" outlineLevel="0" max="8" min="8" style="203" width="16.42"/>
    <col collapsed="false" customWidth="true" hidden="false" outlineLevel="0" max="10" min="10" style="0" width="1.71"/>
    <col collapsed="false" customWidth="true" hidden="false" outlineLevel="0" max="12" min="12" style="0" width="38.7"/>
    <col collapsed="false" customWidth="true" hidden="false" outlineLevel="0" max="13" min="13" style="0" width="1.29"/>
  </cols>
  <sheetData>
    <row r="1" customFormat="false" ht="12.75" hidden="false" customHeight="false" outlineLevel="0" collapsed="false">
      <c r="A1" s="192" t="s">
        <v>493</v>
      </c>
      <c r="B1" s="204" t="s">
        <v>494</v>
      </c>
      <c r="C1" s="204"/>
      <c r="D1" s="204"/>
      <c r="E1" s="204"/>
      <c r="F1" s="205" t="s">
        <v>176</v>
      </c>
      <c r="G1" s="206"/>
      <c r="H1" s="207" t="n">
        <f aca="false">(H3+H5)*('2.1.c Insumos'!F91/100)</f>
        <v>27180.391250793</v>
      </c>
    </row>
    <row r="2" customFormat="false" ht="13.5" hidden="false" customHeight="false" outlineLevel="0" collapsed="false"/>
    <row r="3" customFormat="false" ht="15.75" hidden="false" customHeight="false" outlineLevel="0" collapsed="false">
      <c r="B3" s="192" t="s">
        <v>495</v>
      </c>
      <c r="C3" s="209" t="s">
        <v>430</v>
      </c>
      <c r="D3" s="209"/>
      <c r="E3" s="209"/>
      <c r="F3" s="210" t="s">
        <v>176</v>
      </c>
      <c r="G3" s="211"/>
      <c r="H3" s="212" t="n">
        <f aca="false">'2.1. Custo Variável'!E1</f>
        <v>158177.295621</v>
      </c>
      <c r="J3" s="15" t="s">
        <v>16</v>
      </c>
      <c r="K3" s="15"/>
      <c r="L3" s="15"/>
      <c r="M3" s="15"/>
    </row>
    <row r="4" customFormat="false" ht="15" hidden="false" customHeight="false" outlineLevel="0" collapsed="false">
      <c r="F4" s="218"/>
      <c r="G4" s="218"/>
      <c r="J4" s="17"/>
      <c r="K4" s="18"/>
      <c r="L4" s="18"/>
      <c r="M4" s="19"/>
    </row>
    <row r="5" customFormat="false" ht="15" hidden="false" customHeight="false" outlineLevel="0" collapsed="false">
      <c r="B5" s="192" t="s">
        <v>496</v>
      </c>
      <c r="C5" s="209" t="s">
        <v>442</v>
      </c>
      <c r="D5" s="209"/>
      <c r="E5" s="209"/>
      <c r="F5" s="210" t="s">
        <v>176</v>
      </c>
      <c r="G5" s="211"/>
      <c r="H5" s="212" t="n">
        <f aca="false">'2.2 Custo Fixo'!H1</f>
        <v>213647.482091627</v>
      </c>
      <c r="J5" s="20"/>
      <c r="K5" s="21"/>
      <c r="L5" s="22" t="s">
        <v>18</v>
      </c>
      <c r="M5" s="23"/>
    </row>
    <row r="6" customFormat="false" ht="15" hidden="false" customHeight="false" outlineLevel="0" collapsed="false">
      <c r="F6" s="218"/>
      <c r="G6" s="218"/>
      <c r="J6" s="20"/>
      <c r="K6" s="27"/>
      <c r="L6" s="22" t="s">
        <v>20</v>
      </c>
      <c r="M6" s="23"/>
    </row>
    <row r="7" customFormat="false" ht="15.75" hidden="false" customHeight="false" outlineLevel="0" collapsed="false">
      <c r="F7" s="218"/>
      <c r="G7" s="218"/>
      <c r="J7" s="29"/>
      <c r="K7" s="30"/>
      <c r="L7" s="30"/>
      <c r="M7" s="31"/>
    </row>
    <row r="17" s="175" customFormat="true" ht="30" hidden="false" customHeight="true" outlineLevel="0" collapsed="false">
      <c r="B17" s="190"/>
      <c r="C17" s="190"/>
      <c r="D17" s="190"/>
      <c r="E17" s="190"/>
      <c r="F17" s="191"/>
      <c r="G17" s="191"/>
      <c r="H17" s="203"/>
    </row>
    <row r="53" customFormat="false" ht="15" hidden="false" customHeight="false" outlineLevel="0" collapsed="false">
      <c r="L53" s="12"/>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2" activeCellId="0" sqref="I22"/>
    </sheetView>
  </sheetViews>
  <sheetFormatPr defaultColWidth="11.43359375" defaultRowHeight="12.75" zeroHeight="false" outlineLevelRow="0" outlineLevelCol="0"/>
  <cols>
    <col collapsed="false" customWidth="true" hidden="false" outlineLevel="0" max="1" min="1" style="0" width="5.28"/>
    <col collapsed="false" customWidth="true" hidden="false" outlineLevel="0" max="2" min="2" style="190" width="6.15"/>
    <col collapsed="false" customWidth="true" hidden="false" outlineLevel="0" max="3" min="3" style="190" width="3.71"/>
    <col collapsed="false" customWidth="true" hidden="false" outlineLevel="0" max="4" min="4" style="190" width="7.86"/>
    <col collapsed="false" customWidth="true" hidden="false" outlineLevel="0" max="5" min="5" style="190" width="53.71"/>
    <col collapsed="false" customWidth="true" hidden="false" outlineLevel="0" max="7" min="6" style="191" width="3.29"/>
    <col collapsed="false" customWidth="true" hidden="false" outlineLevel="0" max="8" min="8" style="203" width="16.42"/>
    <col collapsed="false" customWidth="true" hidden="false" outlineLevel="0" max="10" min="10" style="0" width="1.71"/>
    <col collapsed="false" customWidth="true" hidden="false" outlineLevel="0" max="12" min="12" style="0" width="38.7"/>
    <col collapsed="false" customWidth="true" hidden="false" outlineLevel="0" max="13" min="13" style="0" width="1.29"/>
    <col collapsed="false" customWidth="true" hidden="false" outlineLevel="0" max="16" min="16" style="0" width="16.29"/>
  </cols>
  <sheetData>
    <row r="1" customFormat="false" ht="12.75" hidden="false" customHeight="false" outlineLevel="0" collapsed="false">
      <c r="A1" s="192" t="s">
        <v>497</v>
      </c>
      <c r="B1" s="204" t="s">
        <v>498</v>
      </c>
      <c r="C1" s="204"/>
      <c r="D1" s="204"/>
      <c r="E1" s="204"/>
      <c r="F1" s="205" t="s">
        <v>176</v>
      </c>
      <c r="G1" s="206"/>
      <c r="H1" s="228" t="e">
        <f aca="false">H3/H5</f>
        <v>#DIV/0!</v>
      </c>
      <c r="P1" s="229"/>
    </row>
    <row r="2" customFormat="false" ht="13.5" hidden="false" customHeight="false" outlineLevel="0" collapsed="false"/>
    <row r="3" customFormat="false" ht="15.75" hidden="false" customHeight="false" outlineLevel="0" collapsed="false">
      <c r="B3" s="192" t="s">
        <v>499</v>
      </c>
      <c r="C3" s="209" t="s">
        <v>500</v>
      </c>
      <c r="D3" s="209"/>
      <c r="E3" s="209"/>
      <c r="F3" s="210" t="s">
        <v>176</v>
      </c>
      <c r="G3" s="211"/>
      <c r="H3" s="212" t="n">
        <f aca="false">'4. Custo Total'!H1</f>
        <v>417718.979233061</v>
      </c>
      <c r="J3" s="15" t="s">
        <v>16</v>
      </c>
      <c r="K3" s="15"/>
      <c r="L3" s="15"/>
      <c r="M3" s="15"/>
      <c r="P3" s="220"/>
    </row>
    <row r="4" customFormat="false" ht="15" hidden="false" customHeight="false" outlineLevel="0" collapsed="false">
      <c r="F4" s="218"/>
      <c r="G4" s="218"/>
      <c r="J4" s="17"/>
      <c r="K4" s="18"/>
      <c r="L4" s="18"/>
      <c r="M4" s="19"/>
    </row>
    <row r="5" customFormat="false" ht="15" hidden="false" customHeight="false" outlineLevel="0" collapsed="false">
      <c r="B5" s="192" t="s">
        <v>501</v>
      </c>
      <c r="C5" s="209" t="s">
        <v>502</v>
      </c>
      <c r="D5" s="209"/>
      <c r="E5" s="209"/>
      <c r="F5" s="210" t="s">
        <v>176</v>
      </c>
      <c r="G5" s="211"/>
      <c r="H5" s="230" t="n">
        <f aca="false">'1.1. Passageiros'!D11</f>
        <v>0</v>
      </c>
      <c r="J5" s="20"/>
      <c r="K5" s="21"/>
      <c r="L5" s="22" t="s">
        <v>18</v>
      </c>
      <c r="M5" s="23"/>
      <c r="P5" s="203"/>
    </row>
    <row r="6" customFormat="false" ht="15" hidden="false" customHeight="false" outlineLevel="0" collapsed="false">
      <c r="F6" s="218"/>
      <c r="G6" s="218"/>
      <c r="J6" s="20"/>
      <c r="K6" s="27"/>
      <c r="L6" s="22" t="s">
        <v>20</v>
      </c>
      <c r="M6" s="23"/>
    </row>
    <row r="7" customFormat="false" ht="15" hidden="false" customHeight="false" outlineLevel="0" collapsed="false">
      <c r="J7" s="20"/>
      <c r="K7" s="28"/>
      <c r="L7" s="22" t="s">
        <v>22</v>
      </c>
      <c r="M7" s="23"/>
    </row>
    <row r="8" customFormat="false" ht="15.75" hidden="false" customHeight="false" outlineLevel="0" collapsed="false">
      <c r="J8" s="29"/>
      <c r="K8" s="30"/>
      <c r="L8" s="30"/>
      <c r="M8" s="31"/>
    </row>
    <row r="18" s="175" customFormat="true" ht="30" hidden="false" customHeight="true" outlineLevel="0" collapsed="false">
      <c r="B18" s="190"/>
      <c r="C18" s="190"/>
      <c r="D18" s="190"/>
      <c r="E18" s="190"/>
      <c r="F18" s="191"/>
      <c r="G18" s="191"/>
      <c r="H18" s="203"/>
    </row>
    <row r="53" customFormat="false" ht="15" hidden="false" customHeight="false" outlineLevel="0" collapsed="false">
      <c r="L53" s="12"/>
    </row>
  </sheetData>
  <mergeCells count="4">
    <mergeCell ref="B1:E1"/>
    <mergeCell ref="C3:E3"/>
    <mergeCell ref="J3:M3"/>
    <mergeCell ref="C5:E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P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 activeCellId="0" sqref="H1"/>
    </sheetView>
  </sheetViews>
  <sheetFormatPr defaultColWidth="11.43359375" defaultRowHeight="12.75" zeroHeight="false" outlineLevelRow="0" outlineLevelCol="0"/>
  <cols>
    <col collapsed="false" customWidth="true" hidden="false" outlineLevel="0" max="1" min="1" style="0" width="5.28"/>
    <col collapsed="false" customWidth="true" hidden="false" outlineLevel="0" max="2" min="2" style="190" width="6.15"/>
    <col collapsed="false" customWidth="true" hidden="false" outlineLevel="0" max="3" min="3" style="190" width="3.71"/>
    <col collapsed="false" customWidth="true" hidden="false" outlineLevel="0" max="4" min="4" style="190" width="7.86"/>
    <col collapsed="false" customWidth="true" hidden="false" outlineLevel="0" max="5" min="5" style="190" width="53.71"/>
    <col collapsed="false" customWidth="true" hidden="false" outlineLevel="0" max="7" min="6" style="191" width="3.29"/>
    <col collapsed="false" customWidth="true" hidden="false" outlineLevel="0" max="8" min="8" style="203" width="16.42"/>
    <col collapsed="false" customWidth="true" hidden="false" outlineLevel="0" max="10" min="10" style="0" width="1.71"/>
    <col collapsed="false" customWidth="true" hidden="false" outlineLevel="0" max="12" min="12" style="0" width="38.7"/>
    <col collapsed="false" customWidth="true" hidden="false" outlineLevel="0" max="13" min="13" style="0" width="1.29"/>
    <col collapsed="false" customWidth="true" hidden="false" outlineLevel="0" max="16" min="16" style="0" width="16.29"/>
  </cols>
  <sheetData>
    <row r="1" customFormat="false" ht="12.75" hidden="false" customHeight="false" outlineLevel="0" collapsed="false">
      <c r="A1" s="192" t="s">
        <v>503</v>
      </c>
      <c r="B1" s="204" t="s">
        <v>504</v>
      </c>
      <c r="C1" s="204"/>
      <c r="D1" s="204"/>
      <c r="E1" s="204"/>
      <c r="F1" s="205" t="s">
        <v>176</v>
      </c>
      <c r="G1" s="206"/>
      <c r="H1" s="228" t="e">
        <f aca="false">(H3-H7)/H5</f>
        <v>#DIV/0!</v>
      </c>
      <c r="P1" s="229"/>
    </row>
    <row r="2" customFormat="false" ht="13.5" hidden="false" customHeight="false" outlineLevel="0" collapsed="false"/>
    <row r="3" customFormat="false" ht="15.75" hidden="false" customHeight="false" outlineLevel="0" collapsed="false">
      <c r="B3" s="192" t="s">
        <v>505</v>
      </c>
      <c r="C3" s="209" t="s">
        <v>500</v>
      </c>
      <c r="D3" s="209"/>
      <c r="E3" s="209"/>
      <c r="F3" s="210" t="s">
        <v>176</v>
      </c>
      <c r="G3" s="211"/>
      <c r="H3" s="212" t="n">
        <f aca="false">'4. Custo Total'!H1</f>
        <v>417718.979233061</v>
      </c>
      <c r="J3" s="15" t="s">
        <v>16</v>
      </c>
      <c r="K3" s="15"/>
      <c r="L3" s="15"/>
      <c r="M3" s="15"/>
      <c r="P3" s="220"/>
    </row>
    <row r="4" customFormat="false" ht="15" hidden="false" customHeight="false" outlineLevel="0" collapsed="false">
      <c r="F4" s="218"/>
      <c r="G4" s="218"/>
      <c r="J4" s="17"/>
      <c r="K4" s="18"/>
      <c r="L4" s="18"/>
      <c r="M4" s="19"/>
    </row>
    <row r="5" customFormat="false" ht="15" hidden="false" customHeight="false" outlineLevel="0" collapsed="false">
      <c r="B5" s="192" t="s">
        <v>506</v>
      </c>
      <c r="C5" s="209" t="s">
        <v>507</v>
      </c>
      <c r="D5" s="209"/>
      <c r="E5" s="209"/>
      <c r="F5" s="210" t="s">
        <v>176</v>
      </c>
      <c r="G5" s="211"/>
      <c r="H5" s="230" t="e">
        <f aca="false">'1.4 Indicadores'!E8</f>
        <v>#DIV/0!</v>
      </c>
      <c r="J5" s="20"/>
      <c r="K5" s="21"/>
      <c r="L5" s="22" t="s">
        <v>18</v>
      </c>
      <c r="M5" s="23"/>
      <c r="P5" s="203"/>
    </row>
    <row r="6" customFormat="false" ht="15" hidden="false" customHeight="false" outlineLevel="0" collapsed="false">
      <c r="F6" s="218"/>
      <c r="G6" s="218"/>
      <c r="J6" s="20"/>
      <c r="K6" s="27"/>
      <c r="L6" s="22" t="s">
        <v>20</v>
      </c>
      <c r="M6" s="23"/>
    </row>
    <row r="7" customFormat="false" ht="15" hidden="false" customHeight="false" outlineLevel="0" collapsed="false">
      <c r="B7" s="192" t="s">
        <v>508</v>
      </c>
      <c r="C7" s="209" t="s">
        <v>509</v>
      </c>
      <c r="D7" s="209"/>
      <c r="E7" s="209"/>
      <c r="F7" s="210" t="s">
        <v>176</v>
      </c>
      <c r="G7" s="211"/>
      <c r="H7" s="212" t="n">
        <f aca="false">'2.1.c Insumos'!F105</f>
        <v>0</v>
      </c>
      <c r="J7" s="20"/>
      <c r="K7" s="28"/>
      <c r="L7" s="22" t="s">
        <v>22</v>
      </c>
      <c r="M7" s="23"/>
    </row>
    <row r="8" customFormat="false" ht="15.75" hidden="false" customHeight="false" outlineLevel="0" collapsed="false">
      <c r="J8" s="29"/>
      <c r="K8" s="30"/>
      <c r="L8" s="30"/>
      <c r="M8" s="31"/>
    </row>
    <row r="18" s="175" customFormat="true" ht="30" hidden="false" customHeight="true" outlineLevel="0" collapsed="false">
      <c r="B18" s="190"/>
      <c r="C18" s="190"/>
      <c r="D18" s="190"/>
      <c r="E18" s="190"/>
      <c r="F18" s="191"/>
      <c r="G18" s="191"/>
      <c r="H18" s="203"/>
    </row>
    <row r="25" customFormat="false" ht="12.75" hidden="false" customHeight="false" outlineLevel="0" collapsed="false">
      <c r="J25" s="0" t="n">
        <f aca="false">J25:N30</f>
        <v>0</v>
      </c>
    </row>
    <row r="53" customFormat="false" ht="15" hidden="false" customHeight="false" outlineLevel="0" collapsed="false">
      <c r="L53" s="12"/>
    </row>
  </sheetData>
  <mergeCells count="5">
    <mergeCell ref="B1:E1"/>
    <mergeCell ref="C3:E3"/>
    <mergeCell ref="J3:M3"/>
    <mergeCell ref="C5:E5"/>
    <mergeCell ref="C7:E7"/>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1F497D"/>
    <pageSetUpPr fitToPage="false"/>
  </sheetPr>
  <dimension ref="A1:Q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7" activeCellId="0" sqref="H7"/>
    </sheetView>
  </sheetViews>
  <sheetFormatPr defaultColWidth="11.43359375" defaultRowHeight="12.75" zeroHeight="false" outlineLevelRow="0" outlineLevelCol="0"/>
  <cols>
    <col collapsed="false" customWidth="true" hidden="false" outlineLevel="0" max="1" min="1" style="0" width="5.28"/>
    <col collapsed="false" customWidth="true" hidden="false" outlineLevel="0" max="2" min="2" style="190" width="6.15"/>
    <col collapsed="false" customWidth="true" hidden="false" outlineLevel="0" max="3" min="3" style="190" width="3.71"/>
    <col collapsed="false" customWidth="true" hidden="false" outlineLevel="0" max="4" min="4" style="190" width="7.86"/>
    <col collapsed="false" customWidth="true" hidden="false" outlineLevel="0" max="5" min="5" style="190" width="53.71"/>
    <col collapsed="false" customWidth="true" hidden="false" outlineLevel="0" max="7" min="6" style="191" width="3.29"/>
    <col collapsed="false" customWidth="true" hidden="false" outlineLevel="0" max="8" min="8" style="203" width="16.42"/>
    <col collapsed="false" customWidth="true" hidden="false" outlineLevel="0" max="10" min="10" style="0" width="1.71"/>
    <col collapsed="false" customWidth="true" hidden="false" outlineLevel="0" max="12" min="12" style="0" width="38.7"/>
    <col collapsed="false" customWidth="true" hidden="false" outlineLevel="0" max="13" min="13" style="0" width="1.29"/>
    <col collapsed="false" customWidth="true" hidden="false" outlineLevel="0" max="15" min="15" style="0" width="16.29"/>
    <col collapsed="false" customWidth="true" hidden="false" outlineLevel="0" max="17" min="17" style="0" width="14.01"/>
  </cols>
  <sheetData>
    <row r="1" customFormat="false" ht="12.75" hidden="false" customHeight="false" outlineLevel="0" collapsed="false">
      <c r="A1" s="208" t="s">
        <v>510</v>
      </c>
      <c r="B1" s="204" t="s">
        <v>511</v>
      </c>
      <c r="C1" s="204"/>
      <c r="D1" s="204"/>
      <c r="E1" s="204"/>
      <c r="F1" s="205" t="s">
        <v>176</v>
      </c>
      <c r="G1" s="206"/>
      <c r="H1" s="207" t="n">
        <f aca="false">(H3+H5+H7)/(1-H9)</f>
        <v>417718.979233061</v>
      </c>
      <c r="O1" s="220"/>
      <c r="Q1" s="167"/>
    </row>
    <row r="2" customFormat="false" ht="13.5" hidden="false" customHeight="false" outlineLevel="0" collapsed="false"/>
    <row r="3" customFormat="false" ht="15.75" hidden="false" customHeight="false" outlineLevel="0" collapsed="false">
      <c r="B3" s="208" t="s">
        <v>429</v>
      </c>
      <c r="C3" s="209" t="s">
        <v>430</v>
      </c>
      <c r="D3" s="209"/>
      <c r="E3" s="209"/>
      <c r="F3" s="210" t="s">
        <v>176</v>
      </c>
      <c r="G3" s="211"/>
      <c r="H3" s="212" t="n">
        <f aca="false">'2.1. Custo Variável'!E1</f>
        <v>158177.295621</v>
      </c>
      <c r="J3" s="15" t="s">
        <v>16</v>
      </c>
      <c r="K3" s="15"/>
      <c r="L3" s="15"/>
      <c r="M3" s="15"/>
      <c r="O3" s="167"/>
    </row>
    <row r="4" customFormat="false" ht="15" hidden="false" customHeight="false" outlineLevel="0" collapsed="false">
      <c r="B4" s="231"/>
      <c r="F4" s="218"/>
      <c r="G4" s="218"/>
      <c r="J4" s="17"/>
      <c r="K4" s="18"/>
      <c r="L4" s="18"/>
      <c r="M4" s="19"/>
    </row>
    <row r="5" customFormat="false" ht="15" hidden="false" customHeight="false" outlineLevel="0" collapsed="false">
      <c r="B5" s="208" t="s">
        <v>441</v>
      </c>
      <c r="C5" s="209" t="s">
        <v>442</v>
      </c>
      <c r="D5" s="209"/>
      <c r="E5" s="209"/>
      <c r="F5" s="210" t="s">
        <v>176</v>
      </c>
      <c r="G5" s="211"/>
      <c r="H5" s="212" t="n">
        <f aca="false">'2.2 Custo Fixo'!H1</f>
        <v>213647.482091627</v>
      </c>
      <c r="J5" s="20"/>
      <c r="K5" s="21"/>
      <c r="L5" s="22" t="s">
        <v>18</v>
      </c>
      <c r="M5" s="23"/>
      <c r="O5" s="203"/>
    </row>
    <row r="6" customFormat="false" ht="15" hidden="false" customHeight="false" outlineLevel="0" collapsed="false">
      <c r="B6" s="231"/>
      <c r="F6" s="218"/>
      <c r="G6" s="218"/>
      <c r="J6" s="20"/>
      <c r="K6" s="27"/>
      <c r="L6" s="22" t="s">
        <v>20</v>
      </c>
      <c r="M6" s="23"/>
    </row>
    <row r="7" customFormat="false" ht="15" hidden="false" customHeight="false" outlineLevel="0" collapsed="false">
      <c r="B7" s="208" t="s">
        <v>493</v>
      </c>
      <c r="C7" s="209" t="s">
        <v>494</v>
      </c>
      <c r="D7" s="209"/>
      <c r="E7" s="209"/>
      <c r="F7" s="210" t="s">
        <v>176</v>
      </c>
      <c r="G7" s="211"/>
      <c r="H7" s="212" t="n">
        <f aca="false">'2.3 RPS'!H1</f>
        <v>27180.391250793</v>
      </c>
      <c r="J7" s="20"/>
      <c r="K7" s="28"/>
      <c r="L7" s="22" t="s">
        <v>22</v>
      </c>
      <c r="M7" s="23"/>
    </row>
    <row r="8" customFormat="false" ht="15.75" hidden="false" customHeight="false" outlineLevel="0" collapsed="false">
      <c r="B8" s="231"/>
      <c r="F8" s="218"/>
      <c r="G8" s="218"/>
      <c r="J8" s="29"/>
      <c r="K8" s="30"/>
      <c r="L8" s="30"/>
      <c r="M8" s="31"/>
    </row>
    <row r="9" customFormat="false" ht="12.75" hidden="false" customHeight="false" outlineLevel="0" collapsed="false">
      <c r="B9" s="208" t="s">
        <v>512</v>
      </c>
      <c r="C9" s="209" t="s">
        <v>513</v>
      </c>
      <c r="D9" s="209"/>
      <c r="E9" s="209"/>
      <c r="F9" s="210"/>
      <c r="G9" s="211"/>
      <c r="H9" s="232" t="n">
        <f aca="false">SUM('2.1.c Insumos'!F96:F102)/100</f>
        <v>0.0448</v>
      </c>
    </row>
    <row r="17" s="175" customFormat="true" ht="30" hidden="false" customHeight="true" outlineLevel="0" collapsed="false">
      <c r="B17" s="190"/>
      <c r="C17" s="190"/>
      <c r="D17" s="190"/>
      <c r="E17" s="190"/>
      <c r="F17" s="191"/>
      <c r="G17" s="191"/>
      <c r="H17" s="203"/>
    </row>
    <row r="53" customFormat="false" ht="15" hidden="false" customHeight="false" outlineLevel="0" collapsed="false">
      <c r="L53" s="12"/>
    </row>
  </sheetData>
  <mergeCells count="6">
    <mergeCell ref="B1:E1"/>
    <mergeCell ref="C3:E3"/>
    <mergeCell ref="J3:M3"/>
    <mergeCell ref="C5:E5"/>
    <mergeCell ref="C7:E7"/>
    <mergeCell ref="C9:E9"/>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254061"/>
    <pageSetUpPr fitToPage="false"/>
  </sheetPr>
  <dimension ref="A1:Z64"/>
  <sheetViews>
    <sheetView showFormulas="false" showGridLines="true" showRowColHeaders="true" showZeros="true" rightToLeft="false" tabSelected="true" showOutlineSymbols="true" defaultGridColor="true" view="normal" topLeftCell="A43" colorId="64" zoomScale="100" zoomScaleNormal="100" zoomScalePageLayoutView="100" workbookViewId="0">
      <selection pane="topLeft" activeCell="J51" activeCellId="0" sqref="J51"/>
    </sheetView>
  </sheetViews>
  <sheetFormatPr defaultColWidth="8.6875" defaultRowHeight="12.75" zeroHeight="false" outlineLevelRow="0" outlineLevelCol="0"/>
  <cols>
    <col collapsed="false" customWidth="true" hidden="false" outlineLevel="0" max="9" min="1" style="0" width="9.14"/>
    <col collapsed="false" customWidth="true" hidden="false" outlineLevel="0" max="10" min="10" style="0" width="19.99"/>
    <col collapsed="false" customWidth="true" hidden="false" outlineLevel="0" max="11" min="11" style="0" width="14.28"/>
    <col collapsed="false" customWidth="true" hidden="false" outlineLevel="0" max="12" min="12" style="0" width="16"/>
    <col collapsed="false" customWidth="true" hidden="false" outlineLevel="0" max="13" min="13" style="0" width="16.14"/>
    <col collapsed="false" customWidth="true" hidden="false" outlineLevel="0" max="14" min="14" style="233" width="11.57"/>
    <col collapsed="false" customWidth="true" hidden="false" outlineLevel="0" max="15" min="15" style="0" width="19.57"/>
    <col collapsed="false" customWidth="true" hidden="false" outlineLevel="0" max="16" min="16" style="0" width="16.29"/>
  </cols>
  <sheetData>
    <row r="1" customFormat="false" ht="12.75" hidden="false" customHeight="false" outlineLevel="0" collapsed="false">
      <c r="A1" s="138"/>
      <c r="B1" s="138"/>
      <c r="C1" s="138"/>
      <c r="D1" s="138"/>
      <c r="E1" s="138"/>
      <c r="F1" s="138"/>
      <c r="G1" s="138"/>
      <c r="H1" s="138"/>
      <c r="I1" s="138"/>
      <c r="J1" s="138"/>
      <c r="K1" s="138"/>
      <c r="L1" s="138"/>
      <c r="M1" s="138"/>
      <c r="N1" s="234"/>
      <c r="O1" s="138"/>
      <c r="P1" s="138"/>
      <c r="Q1" s="138"/>
      <c r="R1" s="138"/>
      <c r="S1" s="138"/>
      <c r="T1" s="138"/>
      <c r="U1" s="138"/>
      <c r="V1" s="138"/>
      <c r="W1" s="138"/>
      <c r="X1" s="138"/>
      <c r="Y1" s="138"/>
      <c r="Z1" s="138"/>
    </row>
    <row r="2" customFormat="false" ht="12.75" hidden="false" customHeight="false" outlineLevel="0" collapsed="false">
      <c r="A2" s="138"/>
      <c r="B2" s="235" t="s">
        <v>514</v>
      </c>
      <c r="C2" s="235"/>
      <c r="D2" s="235"/>
      <c r="E2" s="235"/>
      <c r="F2" s="235"/>
      <c r="G2" s="235"/>
      <c r="H2" s="235"/>
      <c r="I2" s="235"/>
      <c r="J2" s="235"/>
      <c r="K2" s="235"/>
      <c r="L2" s="235"/>
      <c r="M2" s="235"/>
      <c r="N2" s="236"/>
      <c r="O2" s="138"/>
      <c r="P2" s="138"/>
      <c r="Q2" s="138"/>
      <c r="R2" s="138"/>
      <c r="S2" s="138"/>
      <c r="T2" s="138"/>
      <c r="U2" s="138"/>
      <c r="V2" s="138"/>
      <c r="W2" s="138"/>
      <c r="X2" s="138"/>
      <c r="Y2" s="138"/>
      <c r="Z2" s="138"/>
    </row>
    <row r="3" customFormat="false" ht="12.75" hidden="false" customHeight="false" outlineLevel="0" collapsed="false">
      <c r="A3" s="138"/>
      <c r="B3" s="237"/>
      <c r="C3" s="237"/>
      <c r="D3" s="237"/>
      <c r="E3" s="237"/>
      <c r="F3" s="237"/>
      <c r="G3" s="237"/>
      <c r="H3" s="237"/>
      <c r="I3" s="237"/>
      <c r="J3" s="237"/>
      <c r="K3" s="237"/>
      <c r="L3" s="237"/>
      <c r="M3" s="237"/>
      <c r="N3" s="236"/>
      <c r="O3" s="138"/>
      <c r="P3" s="138"/>
      <c r="Q3" s="138"/>
      <c r="R3" s="138"/>
      <c r="S3" s="138"/>
      <c r="T3" s="138"/>
      <c r="U3" s="138"/>
      <c r="V3" s="138"/>
      <c r="W3" s="138"/>
      <c r="X3" s="138"/>
      <c r="Y3" s="138"/>
      <c r="Z3" s="138"/>
    </row>
    <row r="4" customFormat="false" ht="12.75" hidden="false" customHeight="false" outlineLevel="0" collapsed="false">
      <c r="A4" s="138"/>
      <c r="B4" s="238" t="s">
        <v>515</v>
      </c>
      <c r="C4" s="238"/>
      <c r="D4" s="238"/>
      <c r="E4" s="238"/>
      <c r="F4" s="238"/>
      <c r="G4" s="238"/>
      <c r="H4" s="238"/>
      <c r="I4" s="238"/>
      <c r="J4" s="239" t="s">
        <v>516</v>
      </c>
      <c r="K4" s="239" t="s">
        <v>517</v>
      </c>
      <c r="L4" s="239" t="s">
        <v>518</v>
      </c>
      <c r="M4" s="240" t="s">
        <v>330</v>
      </c>
      <c r="N4" s="239" t="s">
        <v>519</v>
      </c>
      <c r="O4" s="138"/>
      <c r="P4" s="138"/>
      <c r="Q4" s="138"/>
      <c r="R4" s="138"/>
      <c r="S4" s="138"/>
      <c r="T4" s="138"/>
      <c r="U4" s="138"/>
      <c r="V4" s="138"/>
      <c r="W4" s="138"/>
      <c r="X4" s="138"/>
      <c r="Y4" s="138"/>
      <c r="Z4" s="138"/>
    </row>
    <row r="5" customFormat="false" ht="12.75" hidden="false" customHeight="false" outlineLevel="0" collapsed="false">
      <c r="A5" s="138"/>
      <c r="B5" s="241" t="s">
        <v>520</v>
      </c>
      <c r="C5" s="242"/>
      <c r="D5" s="242"/>
      <c r="E5" s="242"/>
      <c r="F5" s="242"/>
      <c r="G5" s="242"/>
      <c r="H5" s="242"/>
      <c r="I5" s="242"/>
      <c r="J5" s="242"/>
      <c r="K5" s="242"/>
      <c r="L5" s="242"/>
      <c r="M5" s="242"/>
      <c r="N5" s="243"/>
      <c r="O5" s="138"/>
      <c r="P5" s="138"/>
      <c r="Q5" s="138"/>
      <c r="R5" s="138"/>
      <c r="S5" s="138"/>
      <c r="T5" s="138"/>
      <c r="U5" s="138"/>
      <c r="V5" s="138"/>
      <c r="W5" s="138"/>
      <c r="X5" s="138"/>
      <c r="Y5" s="138"/>
      <c r="Z5" s="138"/>
    </row>
    <row r="6" customFormat="false" ht="12.75" hidden="false" customHeight="false" outlineLevel="0" collapsed="false">
      <c r="A6" s="138"/>
      <c r="B6" s="244" t="s">
        <v>521</v>
      </c>
      <c r="C6" s="244"/>
      <c r="D6" s="244"/>
      <c r="E6" s="244"/>
      <c r="F6" s="244"/>
      <c r="G6" s="244"/>
      <c r="H6" s="244"/>
      <c r="I6" s="244"/>
      <c r="J6" s="245" t="n">
        <f aca="false">'2.1. Custo Variável'!E3</f>
        <v>112770.17388</v>
      </c>
      <c r="K6" s="245" t="n">
        <f aca="false">J6/(IF('1.2. KM programada'!$D$7="x",SUM('1.2. KM programada'!$N$16:$P$26),IF('1.2. KM programada'!$D$7="X",SUM('1.2. KM programada'!$N$16:$P$111),'1.2. KM programada'!$D$10)))</f>
        <v>2.142</v>
      </c>
      <c r="L6" s="245" t="n">
        <f aca="false">J6/SUM('1.3 Frota Total'!$C$19:$F$25)</f>
        <v>8055.01242</v>
      </c>
      <c r="M6" s="246" t="n">
        <f aca="false">J6/$J$11</f>
        <v>0.712935275807234</v>
      </c>
      <c r="N6" s="247" t="n">
        <f aca="false">J6/$J$64</f>
        <v>0.269966603114486</v>
      </c>
      <c r="O6" s="138"/>
      <c r="P6" s="138"/>
      <c r="Q6" s="138"/>
      <c r="R6" s="138"/>
      <c r="S6" s="138"/>
      <c r="T6" s="138"/>
      <c r="U6" s="138"/>
      <c r="V6" s="138"/>
      <c r="W6" s="138"/>
      <c r="X6" s="138"/>
      <c r="Y6" s="138"/>
      <c r="Z6" s="138"/>
    </row>
    <row r="7" customFormat="false" ht="12.75" hidden="false" customHeight="false" outlineLevel="0" collapsed="false">
      <c r="A7" s="138"/>
      <c r="B7" s="244" t="s">
        <v>522</v>
      </c>
      <c r="C7" s="244"/>
      <c r="D7" s="244"/>
      <c r="E7" s="244"/>
      <c r="F7" s="244"/>
      <c r="G7" s="244"/>
      <c r="H7" s="244"/>
      <c r="I7" s="244"/>
      <c r="J7" s="245" t="n">
        <f aca="false">'2.1. Custo Variável'!E4</f>
        <v>7115.260971</v>
      </c>
      <c r="K7" s="245" t="n">
        <f aca="false">J7/(IF('1.2. KM programada'!$D$7="x",SUM('1.2. KM programada'!$N$16:$P$26),IF('1.2. KM programada'!$D$7="X",SUM('1.2. KM programada'!$N$16:$P$111),'1.2. KM programada'!$D$10)))</f>
        <v>0.13515</v>
      </c>
      <c r="L7" s="245" t="n">
        <f aca="false">J7/SUM('1.3 Frota Total'!$C$19:$F$25)</f>
        <v>508.2329265</v>
      </c>
      <c r="M7" s="246" t="n">
        <f aca="false">J7/$J$11</f>
        <v>0.0449828209735517</v>
      </c>
      <c r="N7" s="247" t="n">
        <f aca="false">J7/$J$64</f>
        <v>0.0170336071012711</v>
      </c>
      <c r="O7" s="138"/>
      <c r="P7" s="138"/>
      <c r="Q7" s="138"/>
      <c r="R7" s="138"/>
      <c r="S7" s="138"/>
      <c r="T7" s="138"/>
      <c r="U7" s="138"/>
      <c r="V7" s="138"/>
      <c r="W7" s="138"/>
      <c r="X7" s="138"/>
      <c r="Y7" s="138"/>
      <c r="Z7" s="138"/>
    </row>
    <row r="8" customFormat="false" ht="12.75" hidden="false" customHeight="false" outlineLevel="0" collapsed="false">
      <c r="A8" s="138"/>
      <c r="B8" s="244" t="s">
        <v>523</v>
      </c>
      <c r="C8" s="244"/>
      <c r="D8" s="244"/>
      <c r="E8" s="244"/>
      <c r="F8" s="244"/>
      <c r="G8" s="244"/>
      <c r="H8" s="244"/>
      <c r="I8" s="244"/>
      <c r="J8" s="245" t="n">
        <f aca="false">'2.1. Custo Variável'!E6</f>
        <v>9502.80877</v>
      </c>
      <c r="K8" s="245" t="n">
        <f aca="false">J8/(IF('1.2. KM programada'!$D$7="x",SUM('1.2. KM programada'!$N$16:$P$26),IF('1.2. KM programada'!$D$7="X",SUM('1.2. KM programada'!$N$16:$P$111),'1.2. KM programada'!$D$10)))</f>
        <v>0.1805</v>
      </c>
      <c r="L8" s="245" t="n">
        <f aca="false">J8/SUM('1.3 Frota Total'!$C$19:$F$25)</f>
        <v>678.772055</v>
      </c>
      <c r="M8" s="246" t="n">
        <f aca="false">J8/$J$11</f>
        <v>0.0600769455103668</v>
      </c>
      <c r="N8" s="247" t="n">
        <f aca="false">J8/$J$64</f>
        <v>0.0227492865836437</v>
      </c>
      <c r="O8" s="138"/>
      <c r="P8" s="138"/>
      <c r="Q8" s="138"/>
      <c r="R8" s="138"/>
      <c r="S8" s="138"/>
      <c r="T8" s="138"/>
      <c r="U8" s="138"/>
      <c r="V8" s="138"/>
      <c r="W8" s="138"/>
      <c r="X8" s="138"/>
      <c r="Y8" s="138"/>
      <c r="Z8" s="138"/>
    </row>
    <row r="9" customFormat="false" ht="12.75" hidden="false" customHeight="false" outlineLevel="0" collapsed="false">
      <c r="A9" s="138"/>
      <c r="B9" s="244" t="s">
        <v>524</v>
      </c>
      <c r="C9" s="244"/>
      <c r="D9" s="244"/>
      <c r="E9" s="244"/>
      <c r="F9" s="244"/>
      <c r="G9" s="244"/>
      <c r="H9" s="244"/>
      <c r="I9" s="244"/>
      <c r="J9" s="245" t="n">
        <f aca="false">'2.1. Custo Variável'!E7</f>
        <v>27815.52</v>
      </c>
      <c r="K9" s="245" t="n">
        <f aca="false">J9/(IF('1.2. KM programada'!$D$7="x",SUM('1.2. KM programada'!$N$16:$P$26),IF('1.2. KM programada'!$D$7="X",SUM('1.2. KM programada'!$N$16:$P$111),'1.2. KM programada'!$D$10)))</f>
        <v>0.528338671388417</v>
      </c>
      <c r="L9" s="245" t="n">
        <f aca="false">J9/SUM('1.3 Frota Total'!$C$19:$F$25)</f>
        <v>1986.82285714286</v>
      </c>
      <c r="M9" s="246" t="n">
        <f aca="false">J9/$J$11</f>
        <v>0.175850269097072</v>
      </c>
      <c r="N9" s="247" t="n">
        <f aca="false">J9/$J$64</f>
        <v>0.0665890739536656</v>
      </c>
      <c r="O9" s="138"/>
      <c r="P9" s="138"/>
      <c r="Q9" s="138"/>
      <c r="R9" s="138"/>
      <c r="S9" s="138"/>
      <c r="T9" s="138"/>
      <c r="U9" s="138"/>
      <c r="V9" s="138"/>
      <c r="W9" s="138"/>
      <c r="X9" s="138"/>
      <c r="Y9" s="138"/>
      <c r="Z9" s="138"/>
    </row>
    <row r="10" customFormat="false" ht="12.75" hidden="false" customHeight="false" outlineLevel="0" collapsed="false">
      <c r="A10" s="138"/>
      <c r="B10" s="248" t="s">
        <v>525</v>
      </c>
      <c r="C10" s="248"/>
      <c r="D10" s="248"/>
      <c r="E10" s="248"/>
      <c r="F10" s="248"/>
      <c r="G10" s="248"/>
      <c r="H10" s="248"/>
      <c r="I10" s="248"/>
      <c r="J10" s="249" t="n">
        <f aca="false">'2.1. Custo Variável'!E8</f>
        <v>973.532</v>
      </c>
      <c r="K10" s="245" t="n">
        <f aca="false">J10/(IF('1.2. KM programada'!$D$7="x",SUM('1.2. KM programada'!$N$16:$P$26),IF('1.2. KM programada'!$D$7="X",SUM('1.2. KM programada'!$N$16:$P$111),'1.2. KM programada'!$D$10)))</f>
        <v>0.0184916407614925</v>
      </c>
      <c r="L10" s="249" t="n">
        <f aca="false">J10/SUM('1.3 Frota Total'!$C$19:$F$25)</f>
        <v>69.538</v>
      </c>
      <c r="M10" s="250" t="n">
        <f aca="false">J10/$J$11</f>
        <v>0.0061546886117754</v>
      </c>
      <c r="N10" s="247" t="n">
        <f aca="false">J10/$J$64</f>
        <v>0.00233059077609407</v>
      </c>
      <c r="O10" s="138"/>
      <c r="P10" s="138"/>
      <c r="Q10" s="138"/>
      <c r="R10" s="138"/>
      <c r="S10" s="138"/>
      <c r="T10" s="138"/>
      <c r="U10" s="138"/>
      <c r="V10" s="138"/>
      <c r="W10" s="138"/>
      <c r="X10" s="138"/>
      <c r="Y10" s="138"/>
      <c r="Z10" s="138"/>
    </row>
    <row r="11" customFormat="false" ht="12.75" hidden="false" customHeight="false" outlineLevel="0" collapsed="false">
      <c r="A11" s="138"/>
      <c r="B11" s="251" t="s">
        <v>526</v>
      </c>
      <c r="C11" s="251"/>
      <c r="D11" s="251"/>
      <c r="E11" s="251"/>
      <c r="F11" s="251"/>
      <c r="G11" s="251"/>
      <c r="H11" s="251"/>
      <c r="I11" s="251"/>
      <c r="J11" s="252" t="n">
        <f aca="false">SUM(J6:J10)</f>
        <v>158177.295621</v>
      </c>
      <c r="K11" s="245" t="n">
        <f aca="false">J11/(IF('1.2. KM programada'!$D$7="x",SUM('1.2. KM programada'!$N$16:$P$26),IF('1.2. KM programada'!$D$7="X",SUM('1.2. KM programada'!$N$16:$P$111),'1.2. KM programada'!$D$10)))</f>
        <v>3.00448031214991</v>
      </c>
      <c r="L11" s="252" t="n">
        <f aca="false">SUM(L6:L10)</f>
        <v>11298.3782586429</v>
      </c>
      <c r="M11" s="253" t="n">
        <f aca="false">SUM(M6:M10)</f>
        <v>1</v>
      </c>
      <c r="N11" s="247" t="n">
        <f aca="false">J11/$J$64</f>
        <v>0.378669161529161</v>
      </c>
      <c r="O11" s="254"/>
      <c r="P11" s="138"/>
      <c r="Q11" s="138"/>
      <c r="R11" s="138"/>
      <c r="S11" s="138"/>
      <c r="T11" s="138"/>
      <c r="U11" s="138"/>
      <c r="V11" s="138"/>
      <c r="W11" s="138"/>
      <c r="X11" s="138"/>
      <c r="Y11" s="138"/>
      <c r="Z11" s="138"/>
    </row>
    <row r="12" customFormat="false" ht="12.75" hidden="false" customHeight="false" outlineLevel="0" collapsed="false">
      <c r="A12" s="138"/>
      <c r="B12" s="255" t="s">
        <v>527</v>
      </c>
      <c r="C12" s="256"/>
      <c r="D12" s="256"/>
      <c r="E12" s="256"/>
      <c r="F12" s="256"/>
      <c r="G12" s="256"/>
      <c r="H12" s="256"/>
      <c r="I12" s="256"/>
      <c r="J12" s="256"/>
      <c r="K12" s="256"/>
      <c r="L12" s="256"/>
      <c r="M12" s="256"/>
      <c r="N12" s="243"/>
      <c r="O12" s="138"/>
      <c r="P12" s="138"/>
      <c r="Q12" s="138"/>
      <c r="R12" s="138"/>
      <c r="S12" s="138"/>
      <c r="T12" s="138"/>
      <c r="U12" s="138"/>
      <c r="V12" s="138"/>
      <c r="W12" s="138"/>
      <c r="X12" s="138"/>
      <c r="Y12" s="138"/>
      <c r="Z12" s="138"/>
    </row>
    <row r="13" customFormat="false" ht="12.75" hidden="false" customHeight="false" outlineLevel="0" collapsed="false">
      <c r="A13" s="138"/>
      <c r="B13" s="257" t="s">
        <v>528</v>
      </c>
      <c r="C13" s="258"/>
      <c r="D13" s="258"/>
      <c r="E13" s="258"/>
      <c r="F13" s="258"/>
      <c r="G13" s="258"/>
      <c r="H13" s="258"/>
      <c r="I13" s="258"/>
      <c r="J13" s="258"/>
      <c r="K13" s="258"/>
      <c r="L13" s="258"/>
      <c r="M13" s="258"/>
      <c r="N13" s="243"/>
      <c r="O13" s="138"/>
      <c r="P13" s="138"/>
      <c r="Q13" s="138"/>
      <c r="R13" s="138"/>
      <c r="S13" s="138"/>
      <c r="T13" s="138"/>
      <c r="U13" s="138"/>
      <c r="V13" s="138"/>
      <c r="W13" s="138"/>
      <c r="X13" s="138"/>
      <c r="Y13" s="138"/>
      <c r="Z13" s="138"/>
    </row>
    <row r="14" customFormat="false" ht="12.75" hidden="false" customHeight="false" outlineLevel="0" collapsed="false">
      <c r="A14" s="138"/>
      <c r="B14" s="259" t="s">
        <v>529</v>
      </c>
      <c r="C14" s="259"/>
      <c r="D14" s="259"/>
      <c r="E14" s="259"/>
      <c r="F14" s="259"/>
      <c r="G14" s="259"/>
      <c r="H14" s="259"/>
      <c r="I14" s="259"/>
      <c r="J14" s="260" t="n">
        <f aca="false">'2.2 Custo Fixo'!H19</f>
        <v>107870.5251734</v>
      </c>
      <c r="K14" s="260" t="n">
        <f aca="false">J14/(IF('1.2. KM programada'!$D$7="x",SUM('1.2. KM programada'!$N$16:$P$26),IF('1.2. KM programada'!$D$7="X",SUM('1.2. KM programada'!$N$16:$P$111),'1.2. KM programada'!$D$10)))</f>
        <v>2.04893419041186</v>
      </c>
      <c r="L14" s="260" t="n">
        <f aca="false">J14/SUM('1.3 Frota Total'!$C$19:$F$25)</f>
        <v>7705.03751238572</v>
      </c>
      <c r="M14" s="261" t="n">
        <f aca="false">J14/$J$45</f>
        <v>0.504899585603998</v>
      </c>
      <c r="N14" s="247" t="n">
        <f aca="false">J14/$J$64</f>
        <v>0.25823706974352</v>
      </c>
      <c r="O14" s="138"/>
      <c r="P14" s="138"/>
      <c r="Q14" s="138"/>
      <c r="R14" s="138"/>
      <c r="S14" s="138"/>
      <c r="T14" s="138"/>
      <c r="U14" s="138"/>
      <c r="V14" s="138"/>
      <c r="W14" s="138"/>
      <c r="X14" s="138"/>
      <c r="Y14" s="138"/>
      <c r="Z14" s="138"/>
    </row>
    <row r="15" customFormat="false" ht="12.75" hidden="false" customHeight="false" outlineLevel="0" collapsed="false">
      <c r="A15" s="138"/>
      <c r="B15" s="259" t="s">
        <v>530</v>
      </c>
      <c r="C15" s="259"/>
      <c r="D15" s="259"/>
      <c r="E15" s="259"/>
      <c r="F15" s="259"/>
      <c r="G15" s="259"/>
      <c r="H15" s="259"/>
      <c r="I15" s="259"/>
      <c r="J15" s="260" t="n">
        <f aca="false">'2.2 Custo Fixo'!H20</f>
        <v>43148.21006936</v>
      </c>
      <c r="K15" s="260" t="n">
        <f aca="false">J15/(IF('1.2. KM programada'!$D$7="x",SUM('1.2. KM programada'!$N$16:$P$26),IF('1.2. KM programada'!$D$7="X",SUM('1.2. KM programada'!$N$16:$P$111),'1.2. KM programada'!$D$10)))</f>
        <v>0.819573676164745</v>
      </c>
      <c r="L15" s="260" t="n">
        <f aca="false">J15/SUM('1.3 Frota Total'!$C$19:$F$25)</f>
        <v>3082.01500495429</v>
      </c>
      <c r="M15" s="261" t="n">
        <f aca="false">J15/$J$45</f>
        <v>0.201959834241599</v>
      </c>
      <c r="N15" s="247" t="n">
        <f aca="false">J15/$J$64</f>
        <v>0.103294827897408</v>
      </c>
      <c r="O15" s="138"/>
      <c r="P15" s="138"/>
      <c r="Q15" s="138"/>
      <c r="R15" s="138"/>
      <c r="S15" s="138"/>
      <c r="T15" s="138"/>
      <c r="U15" s="138"/>
      <c r="V15" s="138"/>
      <c r="W15" s="138"/>
      <c r="X15" s="138"/>
      <c r="Y15" s="138"/>
      <c r="Z15" s="138"/>
    </row>
    <row r="16" customFormat="false" ht="23.25" hidden="false" customHeight="true" outlineLevel="0" collapsed="false">
      <c r="A16" s="138"/>
      <c r="B16" s="262" t="s">
        <v>531</v>
      </c>
      <c r="C16" s="262"/>
      <c r="D16" s="262"/>
      <c r="E16" s="262"/>
      <c r="F16" s="262"/>
      <c r="G16" s="262"/>
      <c r="H16" s="262"/>
      <c r="I16" s="262"/>
      <c r="J16" s="263" t="n">
        <f aca="false">SUM(J14:J15)</f>
        <v>151018.73524276</v>
      </c>
      <c r="K16" s="263" t="n">
        <f aca="false">SUM(K14:K15)</f>
        <v>2.86850786657661</v>
      </c>
      <c r="L16" s="263" t="n">
        <f aca="false">SUM(L14:L15)</f>
        <v>10787.05251734</v>
      </c>
      <c r="M16" s="264" t="n">
        <f aca="false">SUM(M14:M15)</f>
        <v>0.706859419845598</v>
      </c>
      <c r="N16" s="247" t="n">
        <f aca="false">J16/$J$64</f>
        <v>0.361531897640928</v>
      </c>
      <c r="O16" s="138"/>
      <c r="P16" s="138"/>
      <c r="Q16" s="138"/>
      <c r="R16" s="138"/>
      <c r="S16" s="138"/>
      <c r="T16" s="138"/>
      <c r="U16" s="138"/>
      <c r="V16" s="138"/>
      <c r="W16" s="138"/>
      <c r="X16" s="138"/>
      <c r="Y16" s="138"/>
      <c r="Z16" s="138"/>
    </row>
    <row r="17" customFormat="false" ht="12.75" hidden="false" customHeight="false" outlineLevel="0" collapsed="false">
      <c r="A17" s="138"/>
      <c r="B17" s="257" t="s">
        <v>532</v>
      </c>
      <c r="C17" s="258"/>
      <c r="D17" s="258"/>
      <c r="E17" s="258"/>
      <c r="F17" s="258"/>
      <c r="G17" s="258"/>
      <c r="H17" s="258"/>
      <c r="I17" s="258"/>
      <c r="J17" s="260"/>
      <c r="K17" s="260"/>
      <c r="L17" s="260"/>
      <c r="M17" s="261"/>
      <c r="N17" s="243"/>
      <c r="O17" s="138"/>
      <c r="P17" s="138"/>
      <c r="Q17" s="138"/>
      <c r="R17" s="138"/>
      <c r="S17" s="138"/>
      <c r="T17" s="138"/>
      <c r="U17" s="138"/>
      <c r="V17" s="138"/>
      <c r="W17" s="138"/>
      <c r="X17" s="138"/>
      <c r="Y17" s="138"/>
      <c r="Z17" s="138"/>
    </row>
    <row r="18" customFormat="false" ht="12.75" hidden="false" customHeight="false" outlineLevel="0" collapsed="false">
      <c r="A18" s="138"/>
      <c r="B18" s="259" t="s">
        <v>533</v>
      </c>
      <c r="C18" s="259"/>
      <c r="D18" s="259"/>
      <c r="E18" s="259"/>
      <c r="F18" s="259"/>
      <c r="G18" s="259"/>
      <c r="H18" s="259"/>
      <c r="I18" s="259"/>
      <c r="J18" s="260" t="n">
        <f aca="false">'2.2 Custo Fixo'!H23</f>
        <v>30144.16</v>
      </c>
      <c r="K18" s="260" t="n">
        <f aca="false">J18/(IF('1.2. KM programada'!$D$7="x",SUM('1.2. KM programada'!$N$16:$P$26),IF('1.2. KM programada'!$D$7="X",SUM('1.2. KM programada'!$N$16:$P$111),'1.2. KM programada'!$D$10)))</f>
        <v>0.572569754026525</v>
      </c>
      <c r="L18" s="260" t="n">
        <f aca="false">J18/SUM('1.3 Frota Total'!$C$19:$F$25)</f>
        <v>2153.15428571429</v>
      </c>
      <c r="M18" s="261" t="n">
        <f aca="false">J18/$J$45</f>
        <v>0.141092980384726</v>
      </c>
      <c r="N18" s="247" t="n">
        <f aca="false">J18/$J$64</f>
        <v>0.0721637308779821</v>
      </c>
      <c r="O18" s="138"/>
      <c r="P18" s="138"/>
      <c r="Q18" s="138"/>
      <c r="R18" s="138"/>
      <c r="S18" s="138"/>
      <c r="T18" s="138"/>
      <c r="U18" s="138"/>
      <c r="V18" s="138"/>
      <c r="W18" s="138"/>
      <c r="X18" s="138"/>
      <c r="Y18" s="138"/>
      <c r="Z18" s="138"/>
    </row>
    <row r="19" customFormat="false" ht="12.75" hidden="false" customHeight="false" outlineLevel="0" collapsed="false">
      <c r="A19" s="138"/>
      <c r="B19" s="259" t="s">
        <v>534</v>
      </c>
      <c r="C19" s="259"/>
      <c r="D19" s="259"/>
      <c r="E19" s="259"/>
      <c r="F19" s="259"/>
      <c r="G19" s="259"/>
      <c r="H19" s="259"/>
      <c r="I19" s="259"/>
      <c r="J19" s="260" t="n">
        <f aca="false">'2.2 Custo Fixo'!H24</f>
        <v>121.253333333333</v>
      </c>
      <c r="K19" s="260" t="n">
        <f aca="false">J19/(IF('1.2. KM programada'!$D$7="x",SUM('1.2. KM programada'!$N$16:$P$26),IF('1.2. KM programada'!$D$7="X",SUM('1.2. KM programada'!$N$16:$P$111),'1.2. KM programada'!$D$10)))</f>
        <v>0.00230313238921114</v>
      </c>
      <c r="L19" s="260" t="n">
        <f aca="false">J19/SUM('1.3 Frota Total'!$C$19:$F$25)</f>
        <v>8.66095238095238</v>
      </c>
      <c r="M19" s="261" t="n">
        <f aca="false">J19/$J$45</f>
        <v>0.000567539257407825</v>
      </c>
      <c r="N19" s="247" t="n">
        <f aca="false">J19/$J$64</f>
        <v>0.000290274896189674</v>
      </c>
      <c r="O19" s="138"/>
      <c r="P19" s="138"/>
      <c r="Q19" s="138"/>
      <c r="R19" s="138"/>
      <c r="S19" s="138"/>
      <c r="T19" s="138"/>
      <c r="U19" s="138"/>
      <c r="V19" s="138"/>
      <c r="W19" s="138"/>
      <c r="X19" s="138"/>
      <c r="Y19" s="138"/>
      <c r="Z19" s="138"/>
    </row>
    <row r="20" customFormat="false" ht="12.75" hidden="false" customHeight="false" outlineLevel="0" collapsed="false">
      <c r="A20" s="138"/>
      <c r="B20" s="259" t="s">
        <v>535</v>
      </c>
      <c r="C20" s="259"/>
      <c r="D20" s="259"/>
      <c r="E20" s="259"/>
      <c r="F20" s="259"/>
      <c r="G20" s="259"/>
      <c r="H20" s="259"/>
      <c r="I20" s="259"/>
      <c r="J20" s="260" t="n">
        <f aca="false">'2.2 Custo Fixo'!H26</f>
        <v>0</v>
      </c>
      <c r="K20" s="260" t="n">
        <f aca="false">J20/(IF('1.2. KM programada'!$D$7="x",SUM('1.2. KM programada'!$N$16:$P$26),IF('1.2. KM programada'!$D$7="X",SUM('1.2. KM programada'!$N$16:$P$111),'1.2. KM programada'!$D$10)))</f>
        <v>0</v>
      </c>
      <c r="L20" s="260" t="n">
        <f aca="false">J20/SUM('1.3 Frota Total'!$C$19:$F$25)</f>
        <v>0</v>
      </c>
      <c r="M20" s="261" t="n">
        <f aca="false">J20/$J$45</f>
        <v>0</v>
      </c>
      <c r="N20" s="247" t="n">
        <f aca="false">J20/$J$64</f>
        <v>0</v>
      </c>
      <c r="O20" s="138"/>
      <c r="P20" s="138"/>
      <c r="Q20" s="138"/>
      <c r="R20" s="138"/>
      <c r="S20" s="138"/>
      <c r="T20" s="138"/>
      <c r="U20" s="138"/>
      <c r="V20" s="138"/>
      <c r="W20" s="138"/>
      <c r="X20" s="138"/>
      <c r="Y20" s="138"/>
      <c r="Z20" s="138"/>
    </row>
    <row r="21" customFormat="false" ht="12.75" hidden="false" customHeight="false" outlineLevel="0" collapsed="false">
      <c r="A21" s="138"/>
      <c r="B21" s="259" t="s">
        <v>536</v>
      </c>
      <c r="C21" s="259"/>
      <c r="D21" s="259"/>
      <c r="E21" s="259"/>
      <c r="F21" s="259"/>
      <c r="G21" s="259"/>
      <c r="H21" s="259"/>
      <c r="I21" s="259"/>
      <c r="J21" s="260" t="n">
        <f aca="false">'2.2 Custo Fixo'!H25</f>
        <v>4928.1</v>
      </c>
      <c r="K21" s="260" t="n">
        <f aca="false">J21/(IF('1.2. KM programada'!$D$7="x",SUM('1.2. KM programada'!$N$16:$P$26),IF('1.2. KM programada'!$D$7="X",SUM('1.2. KM programada'!$N$16:$P$111),'1.2. KM programada'!$D$10)))</f>
        <v>0.0936062243836987</v>
      </c>
      <c r="L21" s="260" t="n">
        <f aca="false">J21/SUM('1.3 Frota Total'!$C$19:$F$25)</f>
        <v>352.007142857143</v>
      </c>
      <c r="M21" s="261" t="n">
        <f aca="false">J21/$J$45</f>
        <v>0.023066501658496</v>
      </c>
      <c r="N21" s="247" t="n">
        <f aca="false">J21/$J$64</f>
        <v>0.0117976444571613</v>
      </c>
      <c r="O21" s="138"/>
      <c r="P21" s="138"/>
      <c r="Q21" s="138"/>
      <c r="R21" s="138"/>
      <c r="S21" s="138"/>
      <c r="T21" s="138"/>
      <c r="U21" s="138"/>
      <c r="V21" s="138"/>
      <c r="W21" s="138"/>
      <c r="X21" s="138"/>
      <c r="Y21" s="138"/>
      <c r="Z21" s="138"/>
    </row>
    <row r="22" customFormat="false" ht="12.75" hidden="false" customHeight="false" outlineLevel="0" collapsed="false">
      <c r="A22" s="138"/>
      <c r="B22" s="259" t="s">
        <v>537</v>
      </c>
      <c r="C22" s="259"/>
      <c r="D22" s="259"/>
      <c r="E22" s="259"/>
      <c r="F22" s="259"/>
      <c r="G22" s="259"/>
      <c r="H22" s="259"/>
      <c r="I22" s="259"/>
      <c r="J22" s="260" t="n">
        <f aca="false">'2.2 Custo Fixo'!H27</f>
        <v>0</v>
      </c>
      <c r="K22" s="260"/>
      <c r="L22" s="265" t="n">
        <f aca="false">J22/SUM('1.3 Frota Total'!$C$19:$F$25)</f>
        <v>0</v>
      </c>
      <c r="M22" s="261" t="n">
        <f aca="false">J22/$J$45</f>
        <v>0</v>
      </c>
      <c r="N22" s="247" t="n">
        <f aca="false">J22/$J$64</f>
        <v>0</v>
      </c>
      <c r="O22" s="138"/>
      <c r="P22" s="138"/>
      <c r="Q22" s="138"/>
      <c r="R22" s="138"/>
      <c r="S22" s="138"/>
      <c r="T22" s="138"/>
      <c r="U22" s="138"/>
      <c r="V22" s="138"/>
      <c r="W22" s="138"/>
      <c r="X22" s="138"/>
      <c r="Y22" s="138"/>
      <c r="Z22" s="138"/>
    </row>
    <row r="23" customFormat="false" ht="24" hidden="false" customHeight="true" outlineLevel="0" collapsed="false">
      <c r="A23" s="138"/>
      <c r="B23" s="262" t="s">
        <v>531</v>
      </c>
      <c r="C23" s="262"/>
      <c r="D23" s="262"/>
      <c r="E23" s="262"/>
      <c r="F23" s="262"/>
      <c r="G23" s="262"/>
      <c r="H23" s="262"/>
      <c r="I23" s="262"/>
      <c r="J23" s="266" t="n">
        <f aca="false">SUM(J18:J22)</f>
        <v>35193.5133333333</v>
      </c>
      <c r="K23" s="266" t="n">
        <f aca="false">SUM(K18:K22)</f>
        <v>0.668479110799434</v>
      </c>
      <c r="L23" s="266" t="n">
        <f aca="false">SUM(L18:L22)</f>
        <v>2513.82238095238</v>
      </c>
      <c r="M23" s="267" t="n">
        <f aca="false">SUM(M18:M22)</f>
        <v>0.16472702130063</v>
      </c>
      <c r="N23" s="247" t="n">
        <f aca="false">J23/$J$64</f>
        <v>0.0842516502313331</v>
      </c>
      <c r="O23" s="138"/>
      <c r="P23" s="138"/>
      <c r="Q23" s="138"/>
      <c r="R23" s="138"/>
      <c r="S23" s="138"/>
      <c r="T23" s="138"/>
      <c r="U23" s="138"/>
      <c r="V23" s="138"/>
      <c r="W23" s="138"/>
      <c r="X23" s="138"/>
      <c r="Y23" s="138"/>
      <c r="Z23" s="138"/>
    </row>
    <row r="24" customFormat="false" ht="12.75" hidden="false" customHeight="false" outlineLevel="0" collapsed="false">
      <c r="A24" s="138"/>
      <c r="B24" s="257" t="s">
        <v>538</v>
      </c>
      <c r="C24" s="258"/>
      <c r="D24" s="258"/>
      <c r="E24" s="258"/>
      <c r="F24" s="258"/>
      <c r="G24" s="258"/>
      <c r="H24" s="258"/>
      <c r="I24" s="258"/>
      <c r="J24" s="260"/>
      <c r="K24" s="260"/>
      <c r="L24" s="260"/>
      <c r="M24" s="261"/>
      <c r="N24" s="243"/>
      <c r="O24" s="138"/>
      <c r="P24" s="138"/>
      <c r="Q24" s="138"/>
      <c r="R24" s="138"/>
      <c r="S24" s="138"/>
      <c r="T24" s="138"/>
      <c r="U24" s="138"/>
      <c r="V24" s="138"/>
      <c r="W24" s="138"/>
      <c r="X24" s="138"/>
      <c r="Y24" s="138"/>
      <c r="Z24" s="138"/>
    </row>
    <row r="25" customFormat="false" ht="12.75" hidden="false" customHeight="false" outlineLevel="0" collapsed="false">
      <c r="A25" s="138"/>
      <c r="B25" s="259" t="s">
        <v>539</v>
      </c>
      <c r="C25" s="259"/>
      <c r="D25" s="259"/>
      <c r="E25" s="259"/>
      <c r="F25" s="259"/>
      <c r="G25" s="259"/>
      <c r="H25" s="259"/>
      <c r="I25" s="259"/>
      <c r="J25" s="260" t="n">
        <f aca="false">'2.2 Custo Fixo'!H4</f>
        <v>13979.6666666667</v>
      </c>
      <c r="K25" s="260" t="n">
        <f aca="false">J25/(IF('1.2. KM programada'!$D$7="x",SUM('1.2. KM programada'!$N$16:$P$26),IF('1.2. KM programada'!$D$7="X",SUM('1.2. KM programada'!$N$16:$P$111),'1.2. KM programada'!$D$10)))</f>
        <v>0.265535158541692</v>
      </c>
      <c r="L25" s="260" t="n">
        <f aca="false">J25/SUM('1.3 Frota Total'!$C$19:$F$25)</f>
        <v>998.547619047619</v>
      </c>
      <c r="M25" s="261" t="n">
        <f aca="false">J25/$J$45</f>
        <v>0.0654333321872299</v>
      </c>
      <c r="N25" s="247" t="n">
        <f aca="false">J25/$J$64</f>
        <v>0.0334666782254749</v>
      </c>
      <c r="O25" s="138"/>
      <c r="P25" s="138"/>
      <c r="Q25" s="138"/>
      <c r="R25" s="138"/>
      <c r="S25" s="138"/>
      <c r="T25" s="138"/>
      <c r="U25" s="138"/>
      <c r="V25" s="138"/>
      <c r="W25" s="138"/>
      <c r="X25" s="138"/>
      <c r="Y25" s="138"/>
      <c r="Z25" s="138"/>
    </row>
    <row r="26" customFormat="false" ht="12.75" hidden="false" customHeight="false" outlineLevel="0" collapsed="false">
      <c r="A26" s="138"/>
      <c r="B26" s="259" t="s">
        <v>540</v>
      </c>
      <c r="C26" s="259"/>
      <c r="D26" s="259"/>
      <c r="E26" s="259"/>
      <c r="F26" s="259"/>
      <c r="G26" s="259"/>
      <c r="H26" s="259"/>
      <c r="I26" s="259"/>
      <c r="J26" s="260" t="n">
        <f aca="false">'2.2 Custo Fixo'!H5</f>
        <v>764.652</v>
      </c>
      <c r="K26" s="260" t="n">
        <f aca="false">J26/(IF('1.2. KM programada'!$D$7="x",SUM('1.2. KM programada'!$N$16:$P$26),IF('1.2. KM programada'!$D$7="X",SUM('1.2. KM programada'!$N$16:$P$111),'1.2. KM programada'!$D$10)))</f>
        <v>0.0145240938064252</v>
      </c>
      <c r="L26" s="260" t="n">
        <f aca="false">J26/SUM('1.3 Frota Total'!$C$19:$F$25)</f>
        <v>54.618</v>
      </c>
      <c r="M26" s="261" t="n">
        <f aca="false">J26/$J$45</f>
        <v>0.0035790358609144</v>
      </c>
      <c r="N26" s="247" t="n">
        <f aca="false">J26/$J$64</f>
        <v>0.00183054167518056</v>
      </c>
      <c r="O26" s="138"/>
      <c r="P26" s="138"/>
      <c r="Q26" s="138"/>
      <c r="R26" s="138"/>
      <c r="S26" s="138"/>
      <c r="T26" s="138"/>
      <c r="U26" s="138"/>
      <c r="V26" s="138"/>
      <c r="W26" s="138"/>
      <c r="X26" s="138"/>
      <c r="Y26" s="138"/>
      <c r="Z26" s="138"/>
    </row>
    <row r="27" customFormat="false" ht="12.75" hidden="false" customHeight="false" outlineLevel="0" collapsed="false">
      <c r="A27" s="138"/>
      <c r="B27" s="259" t="s">
        <v>541</v>
      </c>
      <c r="C27" s="259"/>
      <c r="D27" s="259"/>
      <c r="E27" s="259"/>
      <c r="F27" s="259"/>
      <c r="G27" s="259"/>
      <c r="H27" s="259"/>
      <c r="I27" s="259"/>
      <c r="J27" s="260" t="n">
        <f aca="false">'2.2 Custo Fixo'!H6</f>
        <v>0</v>
      </c>
      <c r="K27" s="260" t="n">
        <f aca="false">J27/(IF('1.2. KM programada'!$D$7="x",SUM('1.2. KM programada'!$N$16:$P$26),IF('1.2. KM programada'!$D$7="X",SUM('1.2. KM programada'!$N$16:$P$111),'1.2. KM programada'!$D$10)))</f>
        <v>0</v>
      </c>
      <c r="L27" s="260" t="n">
        <f aca="false">J27/SUM('1.3 Frota Total'!$C$19:$F$25)</f>
        <v>0</v>
      </c>
      <c r="M27" s="261" t="n">
        <f aca="false">J27/$J$45</f>
        <v>0</v>
      </c>
      <c r="N27" s="247" t="n">
        <f aca="false">J27/$J$64</f>
        <v>0</v>
      </c>
      <c r="O27" s="138"/>
      <c r="P27" s="138"/>
      <c r="Q27" s="138"/>
      <c r="R27" s="138"/>
      <c r="S27" s="138"/>
      <c r="T27" s="138"/>
      <c r="U27" s="138"/>
      <c r="V27" s="138"/>
      <c r="W27" s="138"/>
      <c r="X27" s="138"/>
      <c r="Y27" s="138"/>
      <c r="Z27" s="138"/>
    </row>
    <row r="28" customFormat="false" ht="12.75" hidden="false" customHeight="false" outlineLevel="0" collapsed="false">
      <c r="A28" s="138"/>
      <c r="B28" s="259" t="s">
        <v>542</v>
      </c>
      <c r="C28" s="259"/>
      <c r="D28" s="259"/>
      <c r="E28" s="259"/>
      <c r="F28" s="259"/>
      <c r="G28" s="259"/>
      <c r="H28" s="259"/>
      <c r="I28" s="259"/>
      <c r="J28" s="260" t="n">
        <f aca="false">'2.2 Custo Fixo'!H7</f>
        <v>0</v>
      </c>
      <c r="K28" s="260" t="n">
        <f aca="false">J28/(IF('1.2. KM programada'!$D$7="x",SUM('1.2. KM programada'!$N$16:$P$26),IF('1.2. KM programada'!$D$7="X",SUM('1.2. KM programada'!$N$16:$P$111),'1.2. KM programada'!$D$10)))</f>
        <v>0</v>
      </c>
      <c r="L28" s="260" t="n">
        <f aca="false">J28/SUM('1.3 Frota Total'!$C$19:$F$25)</f>
        <v>0</v>
      </c>
      <c r="M28" s="261" t="n">
        <f aca="false">J28/$J$45</f>
        <v>0</v>
      </c>
      <c r="N28" s="247" t="n">
        <f aca="false">J28/$J$64</f>
        <v>0</v>
      </c>
      <c r="O28" s="138"/>
      <c r="P28" s="138"/>
      <c r="Q28" s="138"/>
      <c r="R28" s="138"/>
      <c r="S28" s="138"/>
      <c r="T28" s="138"/>
      <c r="U28" s="138"/>
      <c r="V28" s="138"/>
      <c r="W28" s="138"/>
      <c r="X28" s="138"/>
      <c r="Y28" s="138"/>
      <c r="Z28" s="138"/>
    </row>
    <row r="29" customFormat="false" ht="12.75" hidden="false" customHeight="false" outlineLevel="0" collapsed="false">
      <c r="A29" s="138"/>
      <c r="B29" s="259" t="s">
        <v>543</v>
      </c>
      <c r="C29" s="259"/>
      <c r="D29" s="259"/>
      <c r="E29" s="259"/>
      <c r="F29" s="259"/>
      <c r="G29" s="259"/>
      <c r="H29" s="259"/>
      <c r="I29" s="259"/>
      <c r="J29" s="260" t="n">
        <f aca="false">'2.2 Custo Fixo'!H8</f>
        <v>0</v>
      </c>
      <c r="K29" s="260" t="n">
        <f aca="false">J29/(IF('1.2. KM programada'!$D$7="x",SUM('1.2. KM programada'!$N$16:$P$26),IF('1.2. KM programada'!$D$7="X",SUM('1.2. KM programada'!$N$16:$P$111),'1.2. KM programada'!$D$10)))</f>
        <v>0</v>
      </c>
      <c r="L29" s="260" t="n">
        <f aca="false">J29/SUM('1.3 Frota Total'!$C$19:$F$25)</f>
        <v>0</v>
      </c>
      <c r="M29" s="261" t="n">
        <f aca="false">J29/$J$45</f>
        <v>0</v>
      </c>
      <c r="N29" s="247" t="n">
        <f aca="false">J29/$J$64</f>
        <v>0</v>
      </c>
      <c r="O29" s="138"/>
      <c r="P29" s="138"/>
      <c r="Q29" s="138"/>
      <c r="R29" s="138"/>
      <c r="S29" s="138"/>
      <c r="T29" s="138"/>
      <c r="U29" s="138"/>
      <c r="V29" s="138"/>
      <c r="W29" s="138"/>
      <c r="X29" s="138"/>
      <c r="Y29" s="138"/>
      <c r="Z29" s="138"/>
    </row>
    <row r="30" customFormat="false" ht="12" hidden="false" customHeight="true" outlineLevel="0" collapsed="false">
      <c r="A30" s="138"/>
      <c r="B30" s="259"/>
      <c r="C30" s="268"/>
      <c r="D30" s="268"/>
      <c r="E30" s="268"/>
      <c r="F30" s="268"/>
      <c r="G30" s="268"/>
      <c r="H30" s="268"/>
      <c r="I30" s="268"/>
      <c r="J30" s="260"/>
      <c r="K30" s="260"/>
      <c r="L30" s="260"/>
      <c r="M30" s="261"/>
      <c r="N30" s="243"/>
      <c r="O30" s="138"/>
      <c r="P30" s="138"/>
      <c r="Q30" s="138"/>
      <c r="R30" s="138"/>
      <c r="S30" s="138"/>
      <c r="T30" s="138"/>
      <c r="U30" s="138"/>
      <c r="V30" s="138"/>
      <c r="W30" s="138"/>
      <c r="X30" s="138"/>
      <c r="Y30" s="138"/>
      <c r="Z30" s="138"/>
    </row>
    <row r="31" customFormat="false" ht="12.75" hidden="false" customHeight="false" outlineLevel="0" collapsed="false">
      <c r="A31" s="138"/>
      <c r="B31" s="262" t="s">
        <v>531</v>
      </c>
      <c r="C31" s="262"/>
      <c r="D31" s="262"/>
      <c r="E31" s="262"/>
      <c r="F31" s="262"/>
      <c r="G31" s="262"/>
      <c r="H31" s="262"/>
      <c r="I31" s="262"/>
      <c r="J31" s="269" t="n">
        <f aca="false">SUM(J25:J29)</f>
        <v>14744.3186666667</v>
      </c>
      <c r="K31" s="269" t="n">
        <f aca="false">SUM(K25:K29)</f>
        <v>0.280059252348117</v>
      </c>
      <c r="L31" s="269" t="n">
        <f aca="false">SUM(L25:L29)</f>
        <v>1053.16561904762</v>
      </c>
      <c r="M31" s="270" t="n">
        <f aca="false">SUM(M25:M29)</f>
        <v>0.0690123680481443</v>
      </c>
      <c r="N31" s="247" t="n">
        <f aca="false">J31/$J$64</f>
        <v>0.0352972199006554</v>
      </c>
      <c r="O31" s="138"/>
      <c r="P31" s="138"/>
      <c r="Q31" s="138"/>
      <c r="R31" s="138"/>
      <c r="S31" s="138"/>
      <c r="T31" s="138"/>
      <c r="U31" s="138"/>
      <c r="V31" s="138"/>
      <c r="W31" s="138"/>
      <c r="X31" s="138"/>
      <c r="Y31" s="138"/>
      <c r="Z31" s="138"/>
    </row>
    <row r="32" customFormat="false" ht="12.75" hidden="false" customHeight="false" outlineLevel="0" collapsed="false">
      <c r="A32" s="138"/>
      <c r="B32" s="257" t="s">
        <v>544</v>
      </c>
      <c r="C32" s="258"/>
      <c r="D32" s="258"/>
      <c r="E32" s="258"/>
      <c r="F32" s="258"/>
      <c r="G32" s="258"/>
      <c r="H32" s="258"/>
      <c r="I32" s="258"/>
      <c r="J32" s="260"/>
      <c r="K32" s="260"/>
      <c r="L32" s="260"/>
      <c r="M32" s="261"/>
      <c r="N32" s="243"/>
      <c r="O32" s="138"/>
      <c r="P32" s="138"/>
      <c r="Q32" s="138"/>
      <c r="R32" s="138"/>
      <c r="S32" s="138"/>
      <c r="T32" s="138"/>
      <c r="U32" s="138"/>
      <c r="V32" s="138"/>
      <c r="W32" s="138"/>
      <c r="X32" s="138"/>
      <c r="Y32" s="138"/>
      <c r="Z32" s="138"/>
    </row>
    <row r="33" customFormat="false" ht="12.75" hidden="false" customHeight="false" outlineLevel="0" collapsed="false">
      <c r="A33" s="138"/>
      <c r="B33" s="259" t="s">
        <v>545</v>
      </c>
      <c r="C33" s="259"/>
      <c r="D33" s="259"/>
      <c r="E33" s="259"/>
      <c r="F33" s="259"/>
      <c r="G33" s="259"/>
      <c r="H33" s="259"/>
      <c r="I33" s="259"/>
      <c r="J33" s="260" t="n">
        <f aca="false">'2.2 Custo Fixo'!H11</f>
        <v>888.041716666666</v>
      </c>
      <c r="K33" s="260" t="n">
        <f aca="false">J33/(IF('1.2. KM programada'!$D$7="x",SUM('1.2. KM programada'!$N$16:$P$26),IF('1.2. KM programada'!$D$7="X",SUM('1.2. KM programada'!$N$16:$P$111),'1.2. KM programada'!$D$10)))</f>
        <v>0.0168678054812981</v>
      </c>
      <c r="L33" s="260" t="n">
        <f aca="false">J33/SUM('1.3 Frota Total'!$C$19:$F$25)</f>
        <v>63.4315511904762</v>
      </c>
      <c r="M33" s="261" t="n">
        <f aca="false">J33/$J$45</f>
        <v>0.00415657469010476</v>
      </c>
      <c r="N33" s="247" t="n">
        <f aca="false">J33/$J$64</f>
        <v>0.00212593097468812</v>
      </c>
      <c r="O33" s="138"/>
      <c r="P33" s="138"/>
      <c r="Q33" s="138"/>
      <c r="R33" s="138"/>
      <c r="S33" s="138"/>
      <c r="T33" s="138"/>
      <c r="U33" s="138"/>
      <c r="V33" s="138"/>
      <c r="W33" s="138"/>
      <c r="X33" s="138"/>
      <c r="Y33" s="138"/>
      <c r="Z33" s="138"/>
    </row>
    <row r="34" customFormat="false" ht="12.75" hidden="false" customHeight="false" outlineLevel="0" collapsed="false">
      <c r="A34" s="138"/>
      <c r="B34" s="259" t="s">
        <v>546</v>
      </c>
      <c r="C34" s="259"/>
      <c r="D34" s="259"/>
      <c r="E34" s="259"/>
      <c r="F34" s="259"/>
      <c r="G34" s="259"/>
      <c r="H34" s="259"/>
      <c r="I34" s="259"/>
      <c r="J34" s="260" t="n">
        <f aca="false">'2.2 Custo Fixo'!H12</f>
        <v>2234.18791386667</v>
      </c>
      <c r="K34" s="260" t="n">
        <f aca="false">J34/(IF('1.2. KM programada'!$D$7="x",SUM('1.2. KM programada'!$N$16:$P$26),IF('1.2. KM programada'!$D$7="X",SUM('1.2. KM programada'!$N$16:$P$111),'1.2. KM programada'!$D$10)))</f>
        <v>0.0424370234331184</v>
      </c>
      <c r="L34" s="260" t="n">
        <f aca="false">J34/SUM('1.3 Frota Total'!$C$19:$F$25)</f>
        <v>159.584850990476</v>
      </c>
      <c r="M34" s="261" t="n">
        <f aca="false">J34/$J$45</f>
        <v>0.0104573566324947</v>
      </c>
      <c r="N34" s="247" t="n">
        <f aca="false">J34/$J$64</f>
        <v>0.00534854297970534</v>
      </c>
      <c r="O34" s="138"/>
      <c r="P34" s="271"/>
      <c r="Q34" s="138"/>
      <c r="R34" s="138"/>
      <c r="S34" s="138"/>
      <c r="T34" s="138"/>
      <c r="U34" s="138"/>
      <c r="V34" s="138"/>
      <c r="W34" s="138"/>
      <c r="X34" s="138"/>
      <c r="Y34" s="138"/>
      <c r="Z34" s="138"/>
    </row>
    <row r="35" customFormat="false" ht="12.75" hidden="false" customHeight="false" outlineLevel="0" collapsed="false">
      <c r="A35" s="138"/>
      <c r="B35" s="259" t="s">
        <v>547</v>
      </c>
      <c r="C35" s="259"/>
      <c r="D35" s="259"/>
      <c r="E35" s="259"/>
      <c r="F35" s="259"/>
      <c r="G35" s="259"/>
      <c r="H35" s="259"/>
      <c r="I35" s="259"/>
      <c r="J35" s="260" t="n">
        <f aca="false">'2.2 Custo Fixo'!H13</f>
        <v>0</v>
      </c>
      <c r="K35" s="260" t="n">
        <f aca="false">J35/(IF('1.2. KM programada'!$D$7="x",SUM('1.2. KM programada'!$N$16:$P$26),IF('1.2. KM programada'!$D$7="X",SUM('1.2. KM programada'!$N$16:$P$111),'1.2. KM programada'!$D$10)))</f>
        <v>0</v>
      </c>
      <c r="L35" s="260" t="n">
        <f aca="false">J35/SUM('1.3 Frota Total'!$C$19:$F$25)</f>
        <v>0</v>
      </c>
      <c r="M35" s="261" t="n">
        <f aca="false">J35/$J$45</f>
        <v>0</v>
      </c>
      <c r="N35" s="247" t="n">
        <f aca="false">J35/$J$64</f>
        <v>0</v>
      </c>
      <c r="O35" s="138"/>
      <c r="P35" s="138"/>
      <c r="Q35" s="138"/>
      <c r="R35" s="138"/>
      <c r="S35" s="138"/>
      <c r="T35" s="138"/>
      <c r="U35" s="138"/>
      <c r="V35" s="138"/>
      <c r="W35" s="138"/>
      <c r="X35" s="138"/>
      <c r="Y35" s="138"/>
      <c r="Z35" s="138"/>
    </row>
    <row r="36" customFormat="false" ht="12.75" hidden="false" customHeight="false" outlineLevel="0" collapsed="false">
      <c r="A36" s="138"/>
      <c r="B36" s="259" t="s">
        <v>548</v>
      </c>
      <c r="C36" s="259"/>
      <c r="D36" s="259"/>
      <c r="E36" s="259"/>
      <c r="F36" s="259"/>
      <c r="G36" s="259"/>
      <c r="H36" s="259"/>
      <c r="I36" s="259"/>
      <c r="J36" s="260" t="n">
        <f aca="false">'2.2 Custo Fixo'!H14</f>
        <v>0</v>
      </c>
      <c r="K36" s="260" t="n">
        <f aca="false">J36/(IF('1.2. KM programada'!$D$7="x",SUM('1.2. KM programada'!$N$16:$P$26),IF('1.2. KM programada'!$D$7="X",SUM('1.2. KM programada'!$N$16:$P$111),'1.2. KM programada'!$D$10)))</f>
        <v>0</v>
      </c>
      <c r="L36" s="260" t="n">
        <f aca="false">J36/SUM('1.3 Frota Total'!$C$19:$F$25)</f>
        <v>0</v>
      </c>
      <c r="M36" s="261" t="n">
        <f aca="false">J36/$J$45</f>
        <v>0</v>
      </c>
      <c r="N36" s="247" t="n">
        <f aca="false">J36/$J$64</f>
        <v>0</v>
      </c>
      <c r="O36" s="138"/>
      <c r="P36" s="138"/>
      <c r="Q36" s="138"/>
      <c r="R36" s="138"/>
      <c r="S36" s="138"/>
      <c r="T36" s="138"/>
      <c r="U36" s="138"/>
      <c r="V36" s="138"/>
      <c r="W36" s="138"/>
      <c r="X36" s="138"/>
      <c r="Y36" s="138"/>
      <c r="Z36" s="138"/>
    </row>
    <row r="37" customFormat="false" ht="12.75" hidden="false" customHeight="false" outlineLevel="0" collapsed="false">
      <c r="A37" s="138"/>
      <c r="B37" s="259" t="s">
        <v>549</v>
      </c>
      <c r="C37" s="259"/>
      <c r="D37" s="259"/>
      <c r="E37" s="259"/>
      <c r="F37" s="259"/>
      <c r="G37" s="259"/>
      <c r="H37" s="259"/>
      <c r="I37" s="259"/>
      <c r="J37" s="260" t="n">
        <f aca="false">'2.2 Custo Fixo'!H15</f>
        <v>63.6852183333333</v>
      </c>
      <c r="K37" s="260" t="n">
        <f aca="false">J37/(IF('1.2. KM programada'!$D$7="x",SUM('1.2. KM programada'!$N$16:$P$26),IF('1.2. KM programada'!$D$7="X",SUM('1.2. KM programada'!$N$16:$P$111),'1.2. KM programada'!$D$10)))</f>
        <v>0.0012096614998143</v>
      </c>
      <c r="L37" s="260" t="n">
        <f aca="false">J37/SUM('1.3 Frota Total'!$C$19:$F$25)</f>
        <v>4.54894416666667</v>
      </c>
      <c r="M37" s="261" t="n">
        <f aca="false">J37/$J$45</f>
        <v>0.000298085508473349</v>
      </c>
      <c r="N37" s="247" t="n">
        <f aca="false">J37/$J$64</f>
        <v>0.000152459479936153</v>
      </c>
      <c r="O37" s="138"/>
      <c r="P37" s="138"/>
      <c r="Q37" s="138"/>
      <c r="R37" s="138"/>
      <c r="S37" s="138"/>
      <c r="T37" s="138"/>
      <c r="U37" s="138"/>
      <c r="V37" s="138"/>
      <c r="W37" s="138"/>
      <c r="X37" s="138"/>
      <c r="Y37" s="138"/>
      <c r="Z37" s="138"/>
    </row>
    <row r="38" customFormat="false" ht="12.75" hidden="false" customHeight="false" outlineLevel="0" collapsed="false">
      <c r="A38" s="138"/>
      <c r="B38" s="259" t="s">
        <v>550</v>
      </c>
      <c r="C38" s="259"/>
      <c r="D38" s="259"/>
      <c r="E38" s="259"/>
      <c r="F38" s="259"/>
      <c r="G38" s="259"/>
      <c r="H38" s="259"/>
      <c r="I38" s="259"/>
      <c r="J38" s="260" t="n">
        <f aca="false">'2.2 Custo Fixo'!H16</f>
        <v>0</v>
      </c>
      <c r="K38" s="260" t="n">
        <f aca="false">J38/(IF('1.2. KM programada'!$D$7="x",SUM('1.2. KM programada'!$N$16:$P$26),IF('1.2. KM programada'!$D$7="X",SUM('1.2. KM programada'!$N$16:$P$111),'1.2. KM programada'!$D$10)))</f>
        <v>0</v>
      </c>
      <c r="L38" s="260" t="n">
        <f aca="false">J38/SUM('1.3 Frota Total'!$C$19:$F$25)</f>
        <v>0</v>
      </c>
      <c r="M38" s="261" t="n">
        <f aca="false">J38/$J$45</f>
        <v>0</v>
      </c>
      <c r="N38" s="247" t="n">
        <f aca="false">J38/$J$64</f>
        <v>0</v>
      </c>
      <c r="O38" s="138"/>
      <c r="P38" s="138"/>
      <c r="Q38" s="138"/>
      <c r="R38" s="138"/>
      <c r="S38" s="138"/>
      <c r="T38" s="138"/>
      <c r="U38" s="138"/>
      <c r="V38" s="138"/>
      <c r="W38" s="138"/>
      <c r="X38" s="138"/>
      <c r="Y38" s="138"/>
      <c r="Z38" s="138"/>
    </row>
    <row r="39" customFormat="false" ht="12.75" hidden="false" customHeight="false" outlineLevel="0" collapsed="false">
      <c r="A39" s="138"/>
      <c r="B39" s="262" t="s">
        <v>531</v>
      </c>
      <c r="C39" s="262"/>
      <c r="D39" s="262"/>
      <c r="E39" s="262"/>
      <c r="F39" s="262"/>
      <c r="G39" s="262"/>
      <c r="H39" s="262"/>
      <c r="I39" s="262"/>
      <c r="J39" s="263" t="n">
        <f aca="false">SUM(J33:J38)</f>
        <v>3185.91484886667</v>
      </c>
      <c r="K39" s="263" t="n">
        <f aca="false">SUM(K33:K38)</f>
        <v>0.0605144904142308</v>
      </c>
      <c r="L39" s="263" t="n">
        <f aca="false">SUM(L33:L38)</f>
        <v>227.565346347619</v>
      </c>
      <c r="M39" s="264" t="n">
        <f aca="false">SUM(M33:M38)</f>
        <v>0.0149120168310728</v>
      </c>
      <c r="N39" s="247" t="n">
        <f aca="false">J39/$J$64</f>
        <v>0.00762693343432961</v>
      </c>
      <c r="O39" s="138"/>
      <c r="P39" s="138"/>
      <c r="Q39" s="138"/>
      <c r="R39" s="138"/>
      <c r="S39" s="138"/>
      <c r="T39" s="138"/>
      <c r="U39" s="138"/>
      <c r="V39" s="138"/>
      <c r="W39" s="138"/>
      <c r="X39" s="138"/>
      <c r="Y39" s="138"/>
      <c r="Z39" s="138"/>
    </row>
    <row r="40" customFormat="false" ht="12.75" hidden="false" customHeight="false" outlineLevel="0" collapsed="false">
      <c r="A40" s="138"/>
      <c r="B40" s="272" t="s">
        <v>551</v>
      </c>
      <c r="C40" s="273"/>
      <c r="D40" s="273"/>
      <c r="E40" s="273"/>
      <c r="F40" s="273"/>
      <c r="G40" s="273"/>
      <c r="H40" s="273"/>
      <c r="I40" s="273"/>
      <c r="J40" s="274"/>
      <c r="K40" s="274"/>
      <c r="L40" s="274"/>
      <c r="M40" s="274"/>
      <c r="N40" s="243"/>
      <c r="O40" s="138"/>
      <c r="P40" s="138"/>
      <c r="Q40" s="138"/>
      <c r="R40" s="138"/>
      <c r="S40" s="138"/>
      <c r="T40" s="138"/>
      <c r="U40" s="138"/>
      <c r="V40" s="138"/>
      <c r="W40" s="138"/>
      <c r="X40" s="138"/>
      <c r="Y40" s="138"/>
      <c r="Z40" s="138"/>
    </row>
    <row r="41" customFormat="false" ht="12.75" hidden="false" customHeight="false" outlineLevel="0" collapsed="false">
      <c r="A41" s="138"/>
      <c r="B41" s="259" t="s">
        <v>552</v>
      </c>
      <c r="C41" s="259"/>
      <c r="D41" s="259"/>
      <c r="E41" s="259"/>
      <c r="F41" s="259"/>
      <c r="G41" s="259"/>
      <c r="H41" s="259"/>
      <c r="I41" s="259"/>
      <c r="J41" s="275" t="n">
        <f aca="false">'2.2 Custo Fixo'!H30</f>
        <v>5505</v>
      </c>
      <c r="K41" s="275" t="n">
        <f aca="false">J41/(IF('1.2. KM programada'!$D$7="x",SUM('1.2. KM programada'!$N$16:$P$26),IF('1.2. KM programada'!$D$7="X",SUM('1.2. KM programada'!$N$16:$P$111),'1.2. KM programada'!$D$10)))</f>
        <v>0.104564084582752</v>
      </c>
      <c r="L41" s="275" t="n">
        <f aca="false">J41/SUM('1.3 Frota Total'!$C$19:$F$25)</f>
        <v>393.214285714286</v>
      </c>
      <c r="M41" s="276" t="n">
        <f aca="false">J41/$J$45</f>
        <v>0.025766744106252</v>
      </c>
      <c r="N41" s="247" t="n">
        <f aca="false">J41/$J$64</f>
        <v>0.0131787164904675</v>
      </c>
      <c r="O41" s="138"/>
      <c r="P41" s="138"/>
      <c r="Q41" s="138"/>
      <c r="R41" s="138"/>
      <c r="S41" s="138"/>
      <c r="T41" s="138"/>
      <c r="U41" s="138"/>
      <c r="V41" s="138"/>
      <c r="W41" s="138"/>
      <c r="X41" s="138"/>
      <c r="Y41" s="138"/>
      <c r="Z41" s="138"/>
    </row>
    <row r="42" customFormat="false" ht="13.5" hidden="false" customHeight="true" outlineLevel="0" collapsed="false">
      <c r="A42" s="138"/>
      <c r="B42" s="259" t="s">
        <v>553</v>
      </c>
      <c r="C42" s="259"/>
      <c r="D42" s="259"/>
      <c r="E42" s="259"/>
      <c r="F42" s="259"/>
      <c r="G42" s="259"/>
      <c r="H42" s="259"/>
      <c r="I42" s="259"/>
      <c r="J42" s="275" t="n">
        <f aca="false">'2.2 Custo Fixo'!H31</f>
        <v>0</v>
      </c>
      <c r="K42" s="275" t="n">
        <f aca="false">J42/(IF('1.2. KM programada'!$D$7="x",SUM('1.2. KM programada'!$N$16:$P$26),IF('1.2. KM programada'!$D$7="X",SUM('1.2. KM programada'!$N$16:$P$111),'1.2. KM programada'!$D$10)))</f>
        <v>0</v>
      </c>
      <c r="L42" s="275" t="n">
        <f aca="false">J42/SUM('1.3 Frota Total'!$C$19:$F$25)</f>
        <v>0</v>
      </c>
      <c r="M42" s="276" t="n">
        <f aca="false">J42/$J$45</f>
        <v>0</v>
      </c>
      <c r="N42" s="247" t="n">
        <f aca="false">J42/$J$64</f>
        <v>0</v>
      </c>
      <c r="O42" s="138"/>
      <c r="P42" s="138"/>
      <c r="Q42" s="138"/>
      <c r="R42" s="138"/>
      <c r="S42" s="138"/>
      <c r="T42" s="138"/>
      <c r="U42" s="138"/>
      <c r="V42" s="138"/>
      <c r="W42" s="138"/>
      <c r="X42" s="138"/>
      <c r="Y42" s="138"/>
      <c r="Z42" s="138"/>
    </row>
    <row r="43" customFormat="false" ht="13.5" hidden="false" customHeight="true" outlineLevel="0" collapsed="false">
      <c r="A43" s="138"/>
      <c r="B43" s="277" t="s">
        <v>554</v>
      </c>
      <c r="C43" s="277"/>
      <c r="D43" s="277"/>
      <c r="E43" s="277"/>
      <c r="F43" s="277"/>
      <c r="G43" s="277"/>
      <c r="H43" s="277"/>
      <c r="I43" s="277"/>
      <c r="J43" s="275" t="n">
        <f aca="false">'2.2 Custo Fixo'!H32</f>
        <v>4000</v>
      </c>
      <c r="K43" s="275" t="n">
        <f aca="false">J43/(IF('1.2. KM programada'!$D$7="x",SUM('1.2. KM programada'!$N$16:$P$26),IF('1.2. KM programada'!$D$7="X",SUM('1.2. KM programada'!$N$16:$P$111),'1.2. KM programada'!$D$10)))</f>
        <v>0.0759775364815639</v>
      </c>
      <c r="L43" s="275" t="n">
        <f aca="false">J43/SUM('1.3 Frota Total'!$C$19:$F$25)</f>
        <v>285.714285714286</v>
      </c>
      <c r="M43" s="276" t="n">
        <f aca="false">J43/$J$45</f>
        <v>0.018722429868303</v>
      </c>
      <c r="N43" s="247" t="n">
        <f aca="false">J43/$J$64</f>
        <v>0.0095758157968883</v>
      </c>
      <c r="O43" s="138"/>
      <c r="P43" s="138"/>
      <c r="Q43" s="138"/>
      <c r="R43" s="138"/>
      <c r="S43" s="138"/>
      <c r="T43" s="138"/>
      <c r="U43" s="138"/>
      <c r="V43" s="138"/>
      <c r="W43" s="138"/>
      <c r="X43" s="138"/>
      <c r="Y43" s="138"/>
      <c r="Z43" s="138"/>
    </row>
    <row r="44" customFormat="false" ht="15.75" hidden="false" customHeight="true" outlineLevel="0" collapsed="false">
      <c r="A44" s="138"/>
      <c r="B44" s="278" t="s">
        <v>531</v>
      </c>
      <c r="C44" s="278"/>
      <c r="D44" s="278"/>
      <c r="E44" s="278"/>
      <c r="F44" s="278"/>
      <c r="G44" s="278"/>
      <c r="H44" s="278"/>
      <c r="I44" s="278"/>
      <c r="J44" s="279" t="n">
        <f aca="false">SUM(J41:J43)</f>
        <v>9505</v>
      </c>
      <c r="K44" s="275" t="n">
        <f aca="false">J44/(IF('1.2. KM programada'!$D$7="x",SUM('1.2. KM programada'!$N$16:$P$26),IF('1.2. KM programada'!$D$7="X",SUM('1.2. KM programada'!$N$16:$P$111),'1.2. KM programada'!$D$10)))</f>
        <v>0.180541621064316</v>
      </c>
      <c r="L44" s="279" t="n">
        <f aca="false">SUM(L41:L43)</f>
        <v>678.928571428571</v>
      </c>
      <c r="M44" s="280" t="n">
        <f aca="false">SUM(M41:M43)</f>
        <v>0.044489173974555</v>
      </c>
      <c r="N44" s="247" t="n">
        <f aca="false">J44/$J$64</f>
        <v>0.0227545322873558</v>
      </c>
      <c r="O44" s="138"/>
      <c r="P44" s="138"/>
      <c r="Q44" s="138"/>
      <c r="R44" s="138"/>
      <c r="S44" s="138"/>
      <c r="T44" s="138"/>
      <c r="U44" s="138"/>
      <c r="V44" s="138"/>
      <c r="W44" s="138"/>
      <c r="X44" s="138"/>
      <c r="Y44" s="138"/>
      <c r="Z44" s="138"/>
    </row>
    <row r="45" customFormat="false" ht="12.75" hidden="false" customHeight="false" outlineLevel="0" collapsed="false">
      <c r="A45" s="138"/>
      <c r="B45" s="281" t="s">
        <v>555</v>
      </c>
      <c r="C45" s="281"/>
      <c r="D45" s="281"/>
      <c r="E45" s="281"/>
      <c r="F45" s="281"/>
      <c r="G45" s="281"/>
      <c r="H45" s="281"/>
      <c r="I45" s="281"/>
      <c r="J45" s="282" t="n">
        <f aca="false">J16+J23+J31+J39+J44</f>
        <v>213647.482091627</v>
      </c>
      <c r="K45" s="283" t="n">
        <f aca="false">K16+K23+K31+K39+K44</f>
        <v>4.05810234120271</v>
      </c>
      <c r="L45" s="283" t="n">
        <f aca="false">L16+L23+L31+L39+L44</f>
        <v>15260.5344351162</v>
      </c>
      <c r="M45" s="284" t="n">
        <f aca="false">M16+M23+M31+M39+M44</f>
        <v>1</v>
      </c>
      <c r="N45" s="247" t="n">
        <f aca="false">J45/$J$64</f>
        <v>0.511462233494602</v>
      </c>
      <c r="O45" s="138"/>
      <c r="P45" s="138"/>
      <c r="Q45" s="138"/>
      <c r="R45" s="138"/>
      <c r="S45" s="138"/>
      <c r="T45" s="138"/>
      <c r="U45" s="138"/>
      <c r="V45" s="138"/>
      <c r="W45" s="138"/>
      <c r="X45" s="138"/>
      <c r="Y45" s="138"/>
      <c r="Z45" s="138"/>
    </row>
    <row r="46" customFormat="false" ht="12.75" hidden="false" customHeight="false" outlineLevel="0" collapsed="false">
      <c r="A46" s="138"/>
      <c r="B46" s="285"/>
      <c r="C46" s="285"/>
      <c r="D46" s="285"/>
      <c r="E46" s="285"/>
      <c r="F46" s="285"/>
      <c r="G46" s="285"/>
      <c r="H46" s="285"/>
      <c r="I46" s="285"/>
      <c r="J46" s="237"/>
      <c r="K46" s="237"/>
      <c r="L46" s="237"/>
      <c r="M46" s="237"/>
      <c r="N46" s="237"/>
      <c r="O46" s="237"/>
      <c r="P46" s="138"/>
      <c r="Q46" s="138"/>
      <c r="R46" s="138"/>
      <c r="S46" s="138"/>
      <c r="T46" s="138"/>
      <c r="U46" s="138"/>
      <c r="V46" s="138"/>
      <c r="W46" s="138"/>
      <c r="X46" s="138"/>
      <c r="Y46" s="138"/>
      <c r="Z46" s="138"/>
    </row>
    <row r="47" customFormat="false" ht="12.75" hidden="false" customHeight="false" outlineLevel="0" collapsed="false">
      <c r="A47" s="138"/>
      <c r="B47" s="286" t="s">
        <v>556</v>
      </c>
      <c r="C47" s="286"/>
      <c r="D47" s="286"/>
      <c r="E47" s="286"/>
      <c r="F47" s="286"/>
      <c r="G47" s="286"/>
      <c r="H47" s="286"/>
      <c r="I47" s="286"/>
      <c r="J47" s="282" t="n">
        <f aca="false">J45+J11</f>
        <v>371824.777712627</v>
      </c>
      <c r="K47" s="282" t="n">
        <f aca="false">K45+K11</f>
        <v>7.06258265335262</v>
      </c>
      <c r="L47" s="282" t="n">
        <f aca="false">L45+L11</f>
        <v>26558.912693759</v>
      </c>
      <c r="M47" s="57"/>
      <c r="N47" s="247" t="n">
        <f aca="false">J47/$J$64</f>
        <v>0.890131395023763</v>
      </c>
      <c r="O47" s="138"/>
      <c r="P47" s="138"/>
      <c r="Q47" s="138"/>
      <c r="R47" s="138"/>
      <c r="S47" s="138"/>
      <c r="T47" s="138"/>
      <c r="U47" s="138"/>
      <c r="V47" s="138"/>
      <c r="W47" s="138"/>
      <c r="X47" s="138"/>
      <c r="Y47" s="138"/>
      <c r="Z47" s="138"/>
    </row>
    <row r="48" customFormat="false" ht="12.75" hidden="false" customHeight="false" outlineLevel="0" collapsed="false">
      <c r="A48" s="138"/>
      <c r="B48" s="285"/>
      <c r="C48" s="285"/>
      <c r="D48" s="285"/>
      <c r="E48" s="285"/>
      <c r="F48" s="285"/>
      <c r="G48" s="285"/>
      <c r="H48" s="285"/>
      <c r="I48" s="285"/>
      <c r="J48" s="237"/>
      <c r="K48" s="237"/>
      <c r="L48" s="237"/>
      <c r="M48" s="237"/>
      <c r="N48" s="237"/>
      <c r="O48" s="138"/>
      <c r="P48" s="138"/>
      <c r="Q48" s="138"/>
      <c r="R48" s="138"/>
      <c r="S48" s="138"/>
      <c r="T48" s="138"/>
      <c r="U48" s="138"/>
      <c r="V48" s="138"/>
      <c r="W48" s="138"/>
      <c r="X48" s="138"/>
      <c r="Y48" s="138"/>
      <c r="Z48" s="138"/>
    </row>
    <row r="49" customFormat="false" ht="12.75" hidden="false" customHeight="false" outlineLevel="0" collapsed="false">
      <c r="A49" s="138"/>
      <c r="B49" s="287" t="s">
        <v>557</v>
      </c>
      <c r="C49" s="287"/>
      <c r="D49" s="287"/>
      <c r="E49" s="287"/>
      <c r="F49" s="287"/>
      <c r="G49" s="287"/>
      <c r="H49" s="287"/>
      <c r="I49" s="287"/>
      <c r="J49" s="288" t="n">
        <f aca="false">'4. Custo Total'!H7</f>
        <v>27180.391250793</v>
      </c>
      <c r="K49" s="288" t="n">
        <f aca="false">J49/(IF('1.2. KM programada'!$D$7="x",SUM('1.2. KM programada'!$N$16:$P$26),IF('1.2. KM programada'!$D$7="X",SUM('1.2. KM programada'!$N$16:$P$111),'1.2. KM programada'!$D$10)))</f>
        <v>0.516274791960076</v>
      </c>
      <c r="L49" s="288" t="n">
        <f aca="false">J49/SUM('1.3 Frota Total'!$C$19:$F$25)</f>
        <v>1941.45651791379</v>
      </c>
      <c r="M49" s="57"/>
      <c r="N49" s="247" t="n">
        <f aca="false">J49/$J$64</f>
        <v>0.0650686049762371</v>
      </c>
      <c r="O49" s="138"/>
      <c r="P49" s="138"/>
      <c r="Q49" s="138"/>
      <c r="R49" s="138"/>
      <c r="S49" s="138"/>
      <c r="T49" s="138"/>
      <c r="U49" s="138"/>
      <c r="V49" s="138"/>
      <c r="W49" s="138"/>
      <c r="X49" s="138"/>
      <c r="Y49" s="138"/>
      <c r="Z49" s="138"/>
    </row>
    <row r="50" customFormat="false" ht="12.75" hidden="false" customHeight="false" outlineLevel="0" collapsed="false">
      <c r="A50" s="138"/>
      <c r="B50" s="237"/>
      <c r="C50" s="237"/>
      <c r="D50" s="237"/>
      <c r="E50" s="237"/>
      <c r="F50" s="237"/>
      <c r="G50" s="237"/>
      <c r="H50" s="237"/>
      <c r="I50" s="237"/>
      <c r="J50" s="237"/>
      <c r="K50" s="237"/>
      <c r="L50" s="237"/>
      <c r="M50" s="237"/>
      <c r="N50" s="243"/>
      <c r="O50" s="138"/>
      <c r="P50" s="138"/>
      <c r="Q50" s="138"/>
      <c r="R50" s="138"/>
      <c r="S50" s="138"/>
      <c r="T50" s="138"/>
      <c r="U50" s="138"/>
      <c r="V50" s="138"/>
      <c r="W50" s="138"/>
      <c r="X50" s="138"/>
      <c r="Y50" s="138"/>
      <c r="Z50" s="138"/>
    </row>
    <row r="51" customFormat="false" ht="12.75" hidden="false" customHeight="false" outlineLevel="0" collapsed="false">
      <c r="A51" s="138"/>
      <c r="B51" s="138"/>
      <c r="C51" s="138"/>
      <c r="D51" s="138"/>
      <c r="E51" s="138"/>
      <c r="F51" s="138"/>
      <c r="G51" s="138"/>
      <c r="H51" s="138"/>
      <c r="I51" s="138"/>
      <c r="J51" s="138"/>
      <c r="K51" s="138"/>
      <c r="L51" s="138"/>
      <c r="M51" s="138"/>
      <c r="N51" s="236"/>
      <c r="O51" s="289"/>
      <c r="P51" s="138"/>
      <c r="Q51" s="138"/>
      <c r="R51" s="138"/>
      <c r="S51" s="138"/>
      <c r="T51" s="138"/>
      <c r="U51" s="138"/>
      <c r="V51" s="138"/>
      <c r="W51" s="138"/>
      <c r="X51" s="138"/>
      <c r="Y51" s="138"/>
      <c r="Z51" s="138"/>
    </row>
    <row r="52" customFormat="false" ht="13.5" hidden="false" customHeight="true" outlineLevel="0" collapsed="false">
      <c r="P52" s="290"/>
      <c r="U52" s="138"/>
      <c r="V52" s="138"/>
      <c r="W52" s="138"/>
      <c r="X52" s="138"/>
      <c r="Y52" s="138"/>
      <c r="Z52" s="138"/>
    </row>
    <row r="53" customFormat="false" ht="12.75" hidden="false" customHeight="false" outlineLevel="0" collapsed="false">
      <c r="B53" s="291" t="s">
        <v>558</v>
      </c>
      <c r="C53" s="291"/>
      <c r="D53" s="291"/>
      <c r="E53" s="291"/>
      <c r="F53" s="291"/>
      <c r="G53" s="291"/>
      <c r="H53" s="291"/>
      <c r="I53" s="291"/>
      <c r="J53" s="291"/>
      <c r="K53" s="291"/>
      <c r="L53" s="291"/>
      <c r="M53" s="291"/>
      <c r="N53" s="243"/>
    </row>
    <row r="54" customFormat="false" ht="12.75" hidden="false" customHeight="false" outlineLevel="0" collapsed="false">
      <c r="B54" s="292" t="s">
        <v>559</v>
      </c>
      <c r="C54" s="292"/>
      <c r="D54" s="292"/>
      <c r="E54" s="292"/>
      <c r="F54" s="292"/>
      <c r="G54" s="292"/>
      <c r="H54" s="292"/>
      <c r="I54" s="292"/>
      <c r="J54" s="292"/>
      <c r="K54" s="292"/>
      <c r="L54" s="292"/>
      <c r="M54" s="293" t="n">
        <v>0.01</v>
      </c>
      <c r="N54" s="247" t="n">
        <f aca="false">J54/$J$64</f>
        <v>0</v>
      </c>
    </row>
    <row r="55" customFormat="false" ht="12.75" hidden="false" customHeight="false" outlineLevel="0" collapsed="false">
      <c r="B55" s="294" t="s">
        <v>560</v>
      </c>
      <c r="C55" s="294"/>
      <c r="D55" s="294"/>
      <c r="E55" s="294"/>
      <c r="F55" s="294"/>
      <c r="G55" s="294"/>
      <c r="H55" s="294"/>
      <c r="I55" s="294"/>
      <c r="J55" s="294"/>
      <c r="K55" s="294"/>
      <c r="L55" s="294"/>
      <c r="M55" s="295" t="n">
        <v>0.0108</v>
      </c>
      <c r="N55" s="247" t="n">
        <f aca="false">J55/$J$64</f>
        <v>0</v>
      </c>
    </row>
    <row r="56" customFormat="false" ht="12.75" hidden="false" customHeight="false" outlineLevel="0" collapsed="false">
      <c r="B56" s="294" t="s">
        <v>561</v>
      </c>
      <c r="C56" s="294"/>
      <c r="D56" s="294"/>
      <c r="E56" s="294"/>
      <c r="F56" s="294"/>
      <c r="G56" s="294"/>
      <c r="H56" s="294"/>
      <c r="I56" s="294"/>
      <c r="J56" s="294"/>
      <c r="K56" s="294"/>
      <c r="L56" s="294"/>
      <c r="M56" s="295" t="n">
        <v>0</v>
      </c>
      <c r="N56" s="247" t="n">
        <f aca="false">J56/$J$64</f>
        <v>0</v>
      </c>
    </row>
    <row r="57" customFormat="false" ht="12.75" hidden="false" customHeight="false" outlineLevel="0" collapsed="false">
      <c r="B57" s="294" t="s">
        <v>562</v>
      </c>
      <c r="C57" s="294"/>
      <c r="D57" s="294"/>
      <c r="E57" s="294"/>
      <c r="F57" s="294"/>
      <c r="G57" s="294"/>
      <c r="H57" s="294"/>
      <c r="I57" s="294"/>
      <c r="J57" s="294"/>
      <c r="K57" s="294"/>
      <c r="L57" s="294"/>
      <c r="M57" s="295" t="n">
        <v>0</v>
      </c>
      <c r="N57" s="247" t="n">
        <f aca="false">J57/$J$64</f>
        <v>0</v>
      </c>
    </row>
    <row r="58" customFormat="false" ht="12.75" hidden="false" customHeight="false" outlineLevel="0" collapsed="false">
      <c r="B58" s="294" t="s">
        <v>563</v>
      </c>
      <c r="C58" s="294"/>
      <c r="D58" s="294"/>
      <c r="E58" s="294"/>
      <c r="F58" s="294"/>
      <c r="G58" s="294"/>
      <c r="H58" s="294"/>
      <c r="I58" s="294"/>
      <c r="J58" s="294"/>
      <c r="K58" s="294"/>
      <c r="L58" s="294"/>
      <c r="M58" s="293" t="n">
        <v>0</v>
      </c>
      <c r="N58" s="247" t="n">
        <f aca="false">J58/$J$64</f>
        <v>0</v>
      </c>
    </row>
    <row r="59" customFormat="false" ht="12.75" hidden="false" customHeight="false" outlineLevel="0" collapsed="false">
      <c r="B59" s="294" t="s">
        <v>564</v>
      </c>
      <c r="C59" s="294"/>
      <c r="D59" s="294"/>
      <c r="E59" s="294"/>
      <c r="F59" s="294"/>
      <c r="G59" s="294"/>
      <c r="H59" s="294"/>
      <c r="I59" s="294"/>
      <c r="J59" s="294"/>
      <c r="K59" s="294"/>
      <c r="L59" s="294"/>
      <c r="M59" s="293" t="n">
        <v>0</v>
      </c>
      <c r="N59" s="247" t="n">
        <f aca="false">J59/$J$64</f>
        <v>0</v>
      </c>
    </row>
    <row r="60" customFormat="false" ht="12.75" hidden="false" customHeight="false" outlineLevel="0" collapsed="false">
      <c r="B60" s="296" t="s">
        <v>565</v>
      </c>
      <c r="C60" s="296"/>
      <c r="D60" s="296"/>
      <c r="E60" s="296"/>
      <c r="F60" s="296"/>
      <c r="G60" s="296"/>
      <c r="H60" s="296"/>
      <c r="I60" s="296"/>
      <c r="J60" s="296"/>
      <c r="K60" s="296"/>
      <c r="L60" s="296"/>
      <c r="M60" s="295" t="n">
        <v>0.024</v>
      </c>
      <c r="N60" s="247" t="n">
        <f aca="false">J60/$J$64</f>
        <v>0</v>
      </c>
    </row>
    <row r="61" customFormat="false" ht="12.75" hidden="false" customHeight="false" outlineLevel="0" collapsed="false">
      <c r="B61" s="297" t="s">
        <v>566</v>
      </c>
      <c r="C61" s="297"/>
      <c r="D61" s="297"/>
      <c r="E61" s="297"/>
      <c r="F61" s="297"/>
      <c r="G61" s="297"/>
      <c r="H61" s="297"/>
      <c r="I61" s="297"/>
      <c r="J61" s="297"/>
      <c r="K61" s="297"/>
      <c r="L61" s="297"/>
      <c r="M61" s="298" t="n">
        <f aca="false">SUM(M54:M60)</f>
        <v>0.0448</v>
      </c>
      <c r="N61" s="236"/>
    </row>
    <row r="62" customFormat="false" ht="12.75" hidden="false" customHeight="false" outlineLevel="0" collapsed="false">
      <c r="B62" s="299" t="s">
        <v>567</v>
      </c>
      <c r="C62" s="299"/>
      <c r="D62" s="299"/>
      <c r="E62" s="299"/>
      <c r="F62" s="299"/>
      <c r="G62" s="299"/>
      <c r="H62" s="299"/>
      <c r="I62" s="299"/>
      <c r="J62" s="282" t="n">
        <f aca="false">(J47+J49)*(1/(1-M61)-1)</f>
        <v>18713.8102696411</v>
      </c>
      <c r="K62" s="282" t="n">
        <f aca="false">(K47+K49)*(1/(1-M61)-1)</f>
        <v>0.35545730061768</v>
      </c>
      <c r="L62" s="282" t="n">
        <f aca="false">(L47+L49)*M61</f>
        <v>1276.81654068294</v>
      </c>
      <c r="M62" s="57"/>
      <c r="N62" s="236" t="e">
        <f aca="false">J62/#REF!</f>
        <v>#REF!</v>
      </c>
    </row>
    <row r="63" customFormat="false" ht="12.75" hidden="false" customHeight="false" outlineLevel="0" collapsed="false">
      <c r="B63" s="237"/>
      <c r="C63" s="237"/>
      <c r="D63" s="237"/>
      <c r="E63" s="237"/>
      <c r="F63" s="237"/>
      <c r="G63" s="237"/>
      <c r="H63" s="237"/>
      <c r="I63" s="237"/>
      <c r="J63" s="237"/>
      <c r="K63" s="237"/>
      <c r="L63" s="237"/>
      <c r="M63" s="237"/>
      <c r="N63" s="236"/>
    </row>
    <row r="64" customFormat="false" ht="12.75" hidden="false" customHeight="false" outlineLevel="0" collapsed="false">
      <c r="B64" s="300" t="s">
        <v>568</v>
      </c>
      <c r="C64" s="300"/>
      <c r="D64" s="300"/>
      <c r="E64" s="300"/>
      <c r="F64" s="300"/>
      <c r="G64" s="300"/>
      <c r="H64" s="300"/>
      <c r="I64" s="300"/>
      <c r="J64" s="301" t="n">
        <f aca="false">(J11+J45+J49)/(1-M61)</f>
        <v>417718.979233061</v>
      </c>
      <c r="K64" s="301" t="n">
        <f aca="false">K62+K49+K47</f>
        <v>7.93431474593037</v>
      </c>
      <c r="L64" s="301" t="n">
        <f aca="false">L47+L49+L62</f>
        <v>29777.1857523558</v>
      </c>
      <c r="M64" s="57"/>
      <c r="N64" s="236"/>
    </row>
  </sheetData>
  <mergeCells count="48">
    <mergeCell ref="B2:M2"/>
    <mergeCell ref="B4:I4"/>
    <mergeCell ref="B6:I6"/>
    <mergeCell ref="B7:I7"/>
    <mergeCell ref="B8:I8"/>
    <mergeCell ref="B9:I9"/>
    <mergeCell ref="B10:I10"/>
    <mergeCell ref="B11:I11"/>
    <mergeCell ref="B14:I14"/>
    <mergeCell ref="B15:I15"/>
    <mergeCell ref="B16:I16"/>
    <mergeCell ref="B18:I18"/>
    <mergeCell ref="B19:I19"/>
    <mergeCell ref="B20:I20"/>
    <mergeCell ref="B21:I21"/>
    <mergeCell ref="B22:I22"/>
    <mergeCell ref="B23:I23"/>
    <mergeCell ref="B25:I25"/>
    <mergeCell ref="B26:I26"/>
    <mergeCell ref="B27:I27"/>
    <mergeCell ref="B28:I28"/>
    <mergeCell ref="B29:I29"/>
    <mergeCell ref="B31:I31"/>
    <mergeCell ref="B33:I33"/>
    <mergeCell ref="B34:I34"/>
    <mergeCell ref="B35:I35"/>
    <mergeCell ref="B36:I36"/>
    <mergeCell ref="B37:I37"/>
    <mergeCell ref="B38:I38"/>
    <mergeCell ref="B39:I39"/>
    <mergeCell ref="B41:I41"/>
    <mergeCell ref="B42:I42"/>
    <mergeCell ref="B43:I43"/>
    <mergeCell ref="B44:I44"/>
    <mergeCell ref="B45:I45"/>
    <mergeCell ref="B47:I47"/>
    <mergeCell ref="B49:I49"/>
    <mergeCell ref="B53:M53"/>
    <mergeCell ref="B54:L54"/>
    <mergeCell ref="B55:L55"/>
    <mergeCell ref="B56:L56"/>
    <mergeCell ref="B57:L57"/>
    <mergeCell ref="B58:L58"/>
    <mergeCell ref="B59:L59"/>
    <mergeCell ref="B60:L60"/>
    <mergeCell ref="B61:L61"/>
    <mergeCell ref="B62:I62"/>
    <mergeCell ref="B64:I64"/>
  </mergeCells>
  <printOptions headings="false" gridLines="false" gridLinesSet="true" horizontalCentered="false" verticalCentered="false"/>
  <pageMargins left="0.511805555555556" right="0.511805555555556" top="0.7875" bottom="0.7875" header="0.511811023622047" footer="0.511811023622047"/>
  <pageSetup paperSize="9" scale="9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9" activeCellId="0" sqref="C9"/>
    </sheetView>
  </sheetViews>
  <sheetFormatPr defaultColWidth="8.6875" defaultRowHeight="12.75" zeroHeight="false" outlineLevelRow="0" outlineLevelCol="0"/>
  <cols>
    <col collapsed="false" customWidth="true" hidden="false" outlineLevel="0" max="1" min="1" style="0" width="14.86"/>
    <col collapsed="false" customWidth="true" hidden="false" outlineLevel="0" max="2" min="2" style="0" width="23.86"/>
    <col collapsed="false" customWidth="true" hidden="false" outlineLevel="0" max="3" min="3" style="0" width="14.28"/>
    <col collapsed="false" customWidth="true" hidden="false" outlineLevel="0" max="4" min="4" style="0" width="16.71"/>
    <col collapsed="false" customWidth="true" hidden="false" outlineLevel="0" max="9" min="9" style="0" width="38.7"/>
  </cols>
  <sheetData>
    <row r="1" customFormat="false" ht="12.75" hidden="false" customHeight="false" outlineLevel="0" collapsed="false">
      <c r="A1" s="114" t="s">
        <v>569</v>
      </c>
    </row>
    <row r="3" customFormat="false" ht="15" hidden="false" customHeight="false" outlineLevel="0" collapsed="false">
      <c r="A3" s="36" t="s">
        <v>570</v>
      </c>
    </row>
    <row r="4" customFormat="false" ht="15.75" hidden="false" customHeight="false" outlineLevel="0" collapsed="false">
      <c r="A4" s="48"/>
    </row>
    <row r="5" customFormat="false" ht="20.25" hidden="false" customHeight="false" outlineLevel="0" collapsed="false">
      <c r="A5" s="302"/>
      <c r="B5" s="302"/>
      <c r="C5" s="303" t="s">
        <v>571</v>
      </c>
      <c r="D5" s="303" t="s">
        <v>572</v>
      </c>
      <c r="G5" s="15" t="s">
        <v>16</v>
      </c>
      <c r="H5" s="15"/>
      <c r="I5" s="15"/>
      <c r="J5" s="15"/>
    </row>
    <row r="6" customFormat="false" ht="16.5" hidden="false" customHeight="false" outlineLevel="0" collapsed="false">
      <c r="A6" s="304"/>
      <c r="B6" s="305" t="s">
        <v>573</v>
      </c>
      <c r="C6" s="306" t="n">
        <v>0.24</v>
      </c>
      <c r="D6" s="306" t="n">
        <v>0.29</v>
      </c>
      <c r="G6" s="17"/>
      <c r="H6" s="18"/>
      <c r="I6" s="18"/>
      <c r="J6" s="19"/>
    </row>
    <row r="7" customFormat="false" ht="16.5" hidden="false" customHeight="false" outlineLevel="0" collapsed="false">
      <c r="A7" s="304"/>
      <c r="B7" s="305" t="s">
        <v>129</v>
      </c>
      <c r="C7" s="306" t="n">
        <v>0.3</v>
      </c>
      <c r="D7" s="306" t="n">
        <v>0.34</v>
      </c>
      <c r="G7" s="20"/>
      <c r="H7" s="21"/>
      <c r="I7" s="22" t="s">
        <v>18</v>
      </c>
      <c r="J7" s="23"/>
    </row>
    <row r="8" customFormat="false" ht="16.5" hidden="false" customHeight="false" outlineLevel="0" collapsed="false">
      <c r="A8" s="304" t="s">
        <v>574</v>
      </c>
      <c r="B8" s="305" t="s">
        <v>133</v>
      </c>
      <c r="C8" s="306" t="n">
        <v>0.34</v>
      </c>
      <c r="D8" s="306" t="n">
        <v>0.38</v>
      </c>
      <c r="G8" s="20"/>
      <c r="H8" s="27"/>
      <c r="I8" s="22" t="s">
        <v>20</v>
      </c>
      <c r="J8" s="23"/>
    </row>
    <row r="9" customFormat="false" ht="16.5" hidden="false" customHeight="false" outlineLevel="0" collapsed="false">
      <c r="A9" s="304" t="s">
        <v>575</v>
      </c>
      <c r="B9" s="305" t="s">
        <v>137</v>
      </c>
      <c r="C9" s="306" t="n">
        <v>0.37</v>
      </c>
      <c r="D9" s="306" t="n">
        <v>0.45</v>
      </c>
      <c r="G9" s="20"/>
      <c r="H9" s="28"/>
      <c r="I9" s="22" t="s">
        <v>22</v>
      </c>
      <c r="J9" s="23"/>
    </row>
    <row r="10" customFormat="false" ht="16.5" hidden="false" customHeight="false" outlineLevel="0" collapsed="false">
      <c r="A10" s="304" t="s">
        <v>576</v>
      </c>
      <c r="B10" s="305" t="s">
        <v>141</v>
      </c>
      <c r="C10" s="306" t="n">
        <v>0.45</v>
      </c>
      <c r="D10" s="306" t="n">
        <v>0.65</v>
      </c>
      <c r="G10" s="29"/>
      <c r="H10" s="30"/>
      <c r="I10" s="30"/>
      <c r="J10" s="31"/>
    </row>
    <row r="11" customFormat="false" ht="16.5" hidden="false" customHeight="false" outlineLevel="0" collapsed="false">
      <c r="A11" s="307"/>
      <c r="B11" s="305" t="s">
        <v>143</v>
      </c>
      <c r="C11" s="306" t="n">
        <v>0.65</v>
      </c>
      <c r="D11" s="306" t="n">
        <v>0.85</v>
      </c>
    </row>
    <row r="12" customFormat="false" ht="16.5" hidden="false" customHeight="false" outlineLevel="0" collapsed="false">
      <c r="A12" s="308"/>
      <c r="B12" s="305" t="s">
        <v>147</v>
      </c>
      <c r="C12" s="306" t="n">
        <v>0.86</v>
      </c>
      <c r="D12" s="306" t="n">
        <v>0.95</v>
      </c>
    </row>
    <row r="15" customFormat="false" ht="12.75" hidden="false" customHeight="false" outlineLevel="0" collapsed="false">
      <c r="A15" s="309" t="s">
        <v>577</v>
      </c>
    </row>
  </sheetData>
  <mergeCells count="2">
    <mergeCell ref="A5:B5"/>
    <mergeCell ref="G5:J5"/>
  </mergeCells>
  <hyperlinks>
    <hyperlink ref="A1" location="'2.1.a Combustível'!A1" display="ANEXO III – Consumo de combustív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27.42"/>
    <col collapsed="false" customWidth="true" hidden="false" outlineLevel="0" max="8" min="2" style="0" width="9.14"/>
    <col collapsed="false" customWidth="true" hidden="false" outlineLevel="0" max="9" min="9" style="0" width="31.15"/>
  </cols>
  <sheetData>
    <row r="1" customFormat="false" ht="12.75" hidden="false" customHeight="false" outlineLevel="0" collapsed="false">
      <c r="A1" s="114" t="s">
        <v>578</v>
      </c>
    </row>
    <row r="3" customFormat="false" ht="15.75" hidden="false" customHeight="true" outlineLevel="0" collapsed="false">
      <c r="A3" s="36" t="s">
        <v>579</v>
      </c>
    </row>
    <row r="4" customFormat="false" ht="15.75" hidden="false" customHeight="true" outlineLevel="0" collapsed="false">
      <c r="A4" s="48"/>
    </row>
    <row r="5" customFormat="false" ht="16.5" hidden="false" customHeight="true" outlineLevel="0" collapsed="false">
      <c r="A5" s="310" t="s">
        <v>580</v>
      </c>
      <c r="B5" s="310"/>
      <c r="C5" s="310"/>
      <c r="D5" s="311" t="s">
        <v>581</v>
      </c>
      <c r="E5" s="312" t="s">
        <v>582</v>
      </c>
      <c r="G5" s="15" t="s">
        <v>16</v>
      </c>
      <c r="H5" s="15"/>
      <c r="I5" s="15"/>
      <c r="J5" s="15"/>
    </row>
    <row r="6" customFormat="false" ht="15" hidden="false" customHeight="false" outlineLevel="0" collapsed="false">
      <c r="A6" s="310"/>
      <c r="B6" s="310"/>
      <c r="C6" s="310"/>
      <c r="D6" s="311"/>
      <c r="E6" s="312"/>
      <c r="G6" s="17"/>
      <c r="H6" s="18"/>
      <c r="I6" s="18"/>
      <c r="J6" s="19"/>
    </row>
    <row r="7" customFormat="false" ht="15.75" hidden="false" customHeight="false" outlineLevel="0" collapsed="false">
      <c r="A7" s="310"/>
      <c r="B7" s="310"/>
      <c r="C7" s="310"/>
      <c r="D7" s="313" t="n">
        <v>0.0265</v>
      </c>
      <c r="E7" s="313" t="s">
        <v>583</v>
      </c>
      <c r="G7" s="20"/>
      <c r="H7" s="21"/>
      <c r="I7" s="22" t="s">
        <v>18</v>
      </c>
      <c r="J7" s="23"/>
    </row>
    <row r="8" customFormat="false" ht="15" hidden="false" customHeight="false" outlineLevel="0" collapsed="false">
      <c r="G8" s="20"/>
      <c r="H8" s="27"/>
      <c r="I8" s="22" t="s">
        <v>20</v>
      </c>
      <c r="J8" s="23"/>
    </row>
    <row r="9" customFormat="false" ht="15" hidden="false" customHeight="false" outlineLevel="0" collapsed="false">
      <c r="G9" s="20"/>
      <c r="H9" s="28"/>
      <c r="I9" s="22" t="s">
        <v>22</v>
      </c>
      <c r="J9" s="23"/>
    </row>
    <row r="10" customFormat="false" ht="15.75" hidden="false" customHeight="false" outlineLevel="0" collapsed="false">
      <c r="G10" s="29"/>
      <c r="H10" s="30"/>
      <c r="I10" s="30"/>
      <c r="J10" s="31"/>
    </row>
  </sheetData>
  <mergeCells count="4">
    <mergeCell ref="A5:C7"/>
    <mergeCell ref="D5:D6"/>
    <mergeCell ref="E5:E6"/>
    <mergeCell ref="G5:J5"/>
  </mergeCells>
  <hyperlinks>
    <hyperlink ref="A1" location="'2.1.c Insumos'!A1" display="ANEXO IV – RELAÇÃO ENTRE O PREÇO DE LUBRIFICANTES E CONSUMO DE ÓLEO DIESEL"/>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5.57"/>
    <col collapsed="false" customWidth="true" hidden="false" outlineLevel="0" max="4" min="2" style="0" width="9.14"/>
    <col collapsed="false" customWidth="true" hidden="false" outlineLevel="0" max="5" min="5" style="0" width="10.85"/>
    <col collapsed="false" customWidth="true" hidden="false" outlineLevel="0" max="6" min="6" style="0" width="11.29"/>
    <col collapsed="false" customWidth="true" hidden="false" outlineLevel="0" max="7" min="7" style="0" width="9.14"/>
    <col collapsed="false" customWidth="true" hidden="false" outlineLevel="0" max="8" min="8" style="0" width="5.86"/>
    <col collapsed="false" customWidth="true" hidden="false" outlineLevel="0" max="9" min="9" style="0" width="9.14"/>
    <col collapsed="false" customWidth="true" hidden="false" outlineLevel="0" max="10" min="10" style="0" width="38.7"/>
    <col collapsed="false" customWidth="true" hidden="false" outlineLevel="0" max="11" min="11" style="0" width="1.14"/>
  </cols>
  <sheetData>
    <row r="1" customFormat="false" ht="15" hidden="false" customHeight="false" outlineLevel="0" collapsed="false">
      <c r="A1" s="36" t="s">
        <v>584</v>
      </c>
    </row>
    <row r="3" s="12" customFormat="true" ht="15" hidden="false" customHeight="false" outlineLevel="0" collapsed="false">
      <c r="A3" s="104" t="s">
        <v>585</v>
      </c>
      <c r="B3" s="48" t="s">
        <v>586</v>
      </c>
    </row>
    <row r="4" s="12" customFormat="true" ht="15.75" hidden="false" customHeight="false" outlineLevel="0" collapsed="false">
      <c r="A4" s="104"/>
      <c r="B4" s="48"/>
    </row>
    <row r="5" s="12" customFormat="true" ht="32.25" hidden="false" customHeight="true" outlineLevel="0" collapsed="false">
      <c r="A5" s="314" t="s">
        <v>587</v>
      </c>
      <c r="B5" s="314"/>
      <c r="C5" s="314"/>
      <c r="D5" s="314"/>
      <c r="E5" s="315" t="s">
        <v>588</v>
      </c>
      <c r="F5" s="315" t="s">
        <v>589</v>
      </c>
      <c r="H5" s="15" t="s">
        <v>16</v>
      </c>
      <c r="I5" s="15"/>
      <c r="J5" s="15"/>
      <c r="K5" s="15"/>
    </row>
    <row r="6" s="12" customFormat="true" ht="15.75" hidden="false" customHeight="true" outlineLevel="0" collapsed="false">
      <c r="A6" s="314"/>
      <c r="B6" s="314"/>
      <c r="C6" s="314"/>
      <c r="D6" s="314"/>
      <c r="E6" s="316" t="n">
        <v>0.03</v>
      </c>
      <c r="F6" s="316" t="n">
        <v>0.05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D7E4BD"/>
    <pageSetUpPr fitToPage="false"/>
  </sheetPr>
  <dimension ref="A1:M60"/>
  <sheetViews>
    <sheetView showFormulas="false" showGridLines="true" showRowColHeaders="true" showZeros="true" rightToLeft="false" tabSelected="false" showOutlineSymbols="true" defaultGridColor="true" view="normal" topLeftCell="A34" colorId="64" zoomScale="100" zoomScaleNormal="100" zoomScalePageLayoutView="100" workbookViewId="0">
      <selection pane="topLeft" activeCell="D5" activeCellId="0" sqref="D5"/>
    </sheetView>
  </sheetViews>
  <sheetFormatPr defaultColWidth="11.43359375" defaultRowHeight="15" zeroHeight="false" outlineLevelRow="0" outlineLevelCol="0"/>
  <cols>
    <col collapsed="false" customWidth="true" hidden="false" outlineLevel="0" max="1" min="1" style="12" width="5.01"/>
    <col collapsed="false" customWidth="true" hidden="false" outlineLevel="0" max="2" min="2" style="12" width="20.99"/>
    <col collapsed="false" customWidth="true" hidden="true" outlineLevel="0" max="3" min="3" style="12" width="10"/>
    <col collapsed="false" customWidth="true" hidden="false" outlineLevel="0" max="4" min="4" style="12" width="18.42"/>
    <col collapsed="false" customWidth="true" hidden="false" outlineLevel="0" max="5" min="5" style="12" width="10"/>
    <col collapsed="false" customWidth="true" hidden="false" outlineLevel="0" max="6" min="6" style="12" width="8.14"/>
    <col collapsed="false" customWidth="true" hidden="false" outlineLevel="0" max="7" min="7" style="12" width="15.29"/>
    <col collapsed="false" customWidth="true" hidden="false" outlineLevel="0" max="8" min="8" style="12" width="5.57"/>
    <col collapsed="false" customWidth="false" hidden="false" outlineLevel="0" max="9" min="9" style="12" width="11.42"/>
    <col collapsed="false" customWidth="true" hidden="false" outlineLevel="0" max="10" min="10" style="12" width="4.71"/>
    <col collapsed="false" customWidth="false" hidden="false" outlineLevel="0" max="11" min="11" style="12" width="11.42"/>
    <col collapsed="false" customWidth="true" hidden="false" outlineLevel="0" max="12" min="12" style="12" width="38.7"/>
    <col collapsed="false" customWidth="true" hidden="false" outlineLevel="0" max="13" min="13" style="12" width="0.86"/>
    <col collapsed="false" customWidth="true" hidden="false" outlineLevel="0" max="14" min="14" style="12" width="37.86"/>
    <col collapsed="false" customWidth="false" hidden="false" outlineLevel="0" max="1024" min="15" style="12" width="11.42"/>
  </cols>
  <sheetData>
    <row r="1" customFormat="false" ht="15" hidden="false" customHeight="false" outlineLevel="0" collapsed="false">
      <c r="A1" s="114" t="s">
        <v>590</v>
      </c>
    </row>
    <row r="3" customFormat="false" ht="15.75" hidden="false" customHeight="false" outlineLevel="0" collapsed="false">
      <c r="A3" s="48" t="s">
        <v>591</v>
      </c>
      <c r="B3" s="48" t="s">
        <v>592</v>
      </c>
    </row>
    <row r="4" customFormat="false" ht="15" hidden="false" customHeight="true" outlineLevel="0" collapsed="false">
      <c r="A4" s="317" t="s">
        <v>593</v>
      </c>
      <c r="B4" s="317"/>
      <c r="C4" s="317"/>
      <c r="D4" s="318" t="n">
        <v>2</v>
      </c>
      <c r="F4" s="11"/>
      <c r="J4" s="15" t="s">
        <v>16</v>
      </c>
      <c r="K4" s="15"/>
      <c r="L4" s="15"/>
      <c r="M4" s="15"/>
    </row>
    <row r="5" customFormat="false" ht="15" hidden="false" customHeight="false" outlineLevel="0" collapsed="false">
      <c r="A5" s="317" t="s">
        <v>594</v>
      </c>
      <c r="B5" s="317"/>
      <c r="C5" s="317"/>
      <c r="D5" s="318" t="n">
        <v>3</v>
      </c>
      <c r="F5" s="41"/>
      <c r="J5" s="17"/>
      <c r="K5" s="18"/>
      <c r="L5" s="18"/>
      <c r="M5" s="19"/>
    </row>
    <row r="6" customFormat="false" ht="15" hidden="false" customHeight="false" outlineLevel="0" collapsed="false">
      <c r="A6" s="48"/>
      <c r="B6" s="48"/>
      <c r="J6" s="20"/>
      <c r="K6" s="21"/>
      <c r="L6" s="22" t="s">
        <v>18</v>
      </c>
      <c r="M6" s="23"/>
    </row>
    <row r="7" customFormat="false" ht="15" hidden="false" customHeight="false" outlineLevel="0" collapsed="false">
      <c r="A7" s="48" t="s">
        <v>595</v>
      </c>
      <c r="B7" s="48" t="s">
        <v>596</v>
      </c>
      <c r="G7" s="48"/>
      <c r="J7" s="20"/>
      <c r="K7" s="27"/>
      <c r="L7" s="22" t="s">
        <v>20</v>
      </c>
      <c r="M7" s="23"/>
    </row>
    <row r="8" customFormat="false" ht="15" hidden="false" customHeight="false" outlineLevel="0" collapsed="false">
      <c r="A8" s="319" t="s">
        <v>153</v>
      </c>
      <c r="B8" s="319"/>
      <c r="C8" s="319"/>
      <c r="D8" s="319" t="s">
        <v>597</v>
      </c>
      <c r="E8" s="319" t="s">
        <v>598</v>
      </c>
      <c r="F8" s="319"/>
      <c r="J8" s="20"/>
      <c r="K8" s="28"/>
      <c r="L8" s="22" t="s">
        <v>22</v>
      </c>
      <c r="M8" s="23"/>
    </row>
    <row r="9" customFormat="false" ht="15.75" hidden="false" customHeight="false" outlineLevel="0" collapsed="false">
      <c r="A9" s="319"/>
      <c r="B9" s="319"/>
      <c r="C9" s="319"/>
      <c r="D9" s="319"/>
      <c r="E9" s="319"/>
      <c r="F9" s="319"/>
      <c r="J9" s="29"/>
      <c r="K9" s="30"/>
      <c r="L9" s="30"/>
      <c r="M9" s="31"/>
    </row>
    <row r="10" customFormat="false" ht="15" hidden="false" customHeight="true" outlineLevel="0" collapsed="false">
      <c r="A10" s="320" t="s">
        <v>125</v>
      </c>
      <c r="B10" s="320"/>
      <c r="C10" s="320"/>
      <c r="D10" s="318" t="n">
        <v>85000</v>
      </c>
      <c r="E10" s="318" t="n">
        <v>125000</v>
      </c>
      <c r="F10" s="318"/>
      <c r="G10" s="321" t="s">
        <v>89</v>
      </c>
    </row>
    <row r="11" customFormat="false" ht="15" hidden="false" customHeight="false" outlineLevel="0" collapsed="false">
      <c r="A11" s="320" t="s">
        <v>129</v>
      </c>
      <c r="B11" s="320"/>
      <c r="C11" s="320"/>
      <c r="D11" s="318" t="n">
        <v>85000</v>
      </c>
      <c r="E11" s="318" t="n">
        <v>125000</v>
      </c>
      <c r="F11" s="318"/>
      <c r="G11" s="321"/>
    </row>
    <row r="12" customFormat="false" ht="15" hidden="false" customHeight="true" outlineLevel="0" collapsed="false">
      <c r="A12" s="320" t="s">
        <v>133</v>
      </c>
      <c r="B12" s="320"/>
      <c r="C12" s="320"/>
      <c r="D12" s="318" t="n">
        <v>85000</v>
      </c>
      <c r="E12" s="318" t="n">
        <v>125000</v>
      </c>
      <c r="F12" s="318"/>
      <c r="G12" s="321"/>
    </row>
    <row r="13" customFormat="false" ht="15" hidden="false" customHeight="false" outlineLevel="0" collapsed="false">
      <c r="A13" s="320" t="s">
        <v>137</v>
      </c>
      <c r="B13" s="320"/>
      <c r="C13" s="320"/>
      <c r="D13" s="318" t="n">
        <v>85000</v>
      </c>
      <c r="E13" s="318" t="n">
        <v>105000</v>
      </c>
      <c r="F13" s="318"/>
      <c r="G13" s="321"/>
    </row>
    <row r="14" customFormat="false" ht="15" hidden="false" customHeight="true" outlineLevel="0" collapsed="false">
      <c r="A14" s="320" t="s">
        <v>141</v>
      </c>
      <c r="B14" s="320"/>
      <c r="C14" s="320"/>
      <c r="D14" s="318" t="n">
        <v>85000</v>
      </c>
      <c r="E14" s="318" t="n">
        <v>105000</v>
      </c>
      <c r="F14" s="318"/>
      <c r="G14" s="321"/>
    </row>
    <row r="15" customFormat="false" ht="15" hidden="false" customHeight="false" outlineLevel="0" collapsed="false">
      <c r="A15" s="320" t="s">
        <v>143</v>
      </c>
      <c r="B15" s="320"/>
      <c r="C15" s="320"/>
      <c r="D15" s="318" t="n">
        <v>85000</v>
      </c>
      <c r="E15" s="318" t="n">
        <v>105000</v>
      </c>
      <c r="F15" s="318"/>
      <c r="G15" s="321"/>
    </row>
    <row r="16" customFormat="false" ht="15" hidden="false" customHeight="false" outlineLevel="0" collapsed="false">
      <c r="A16" s="320" t="s">
        <v>147</v>
      </c>
      <c r="B16" s="320"/>
      <c r="C16" s="320"/>
      <c r="D16" s="318" t="n">
        <v>85000</v>
      </c>
      <c r="E16" s="318" t="n">
        <v>125000</v>
      </c>
      <c r="F16" s="318"/>
      <c r="G16" s="321"/>
    </row>
    <row r="17" customFormat="false" ht="15" hidden="false" customHeight="true" outlineLevel="0" collapsed="false">
      <c r="A17" s="48"/>
      <c r="B17" s="48"/>
    </row>
    <row r="18" customFormat="false" ht="15" hidden="false" customHeight="false" outlineLevel="0" collapsed="false">
      <c r="A18" s="48" t="s">
        <v>599</v>
      </c>
      <c r="B18" s="48" t="s">
        <v>600</v>
      </c>
    </row>
    <row r="19" customFormat="false" ht="15" hidden="false" customHeight="true" outlineLevel="0" collapsed="false">
      <c r="A19" s="319" t="s">
        <v>153</v>
      </c>
      <c r="B19" s="319"/>
      <c r="C19" s="319"/>
      <c r="D19" s="319" t="s">
        <v>601</v>
      </c>
      <c r="E19" s="319" t="s">
        <v>602</v>
      </c>
      <c r="F19" s="319"/>
      <c r="G19" s="322" t="s">
        <v>603</v>
      </c>
    </row>
    <row r="20" customFormat="false" ht="15" hidden="false" customHeight="false" outlineLevel="0" collapsed="false">
      <c r="A20" s="319"/>
      <c r="B20" s="319"/>
      <c r="C20" s="319"/>
      <c r="D20" s="319"/>
      <c r="E20" s="319"/>
      <c r="F20" s="319"/>
      <c r="G20" s="322"/>
    </row>
    <row r="21" customFormat="false" ht="15" hidden="false" customHeight="true" outlineLevel="0" collapsed="false">
      <c r="A21" s="320" t="s">
        <v>125</v>
      </c>
      <c r="B21" s="320"/>
      <c r="C21" s="320"/>
      <c r="D21" s="318" t="s">
        <v>604</v>
      </c>
      <c r="E21" s="323" t="s">
        <v>605</v>
      </c>
      <c r="F21" s="323"/>
      <c r="G21" s="318" t="n">
        <v>6</v>
      </c>
      <c r="H21" s="324" t="s">
        <v>606</v>
      </c>
    </row>
    <row r="22" customFormat="false" ht="15" hidden="false" customHeight="false" outlineLevel="0" collapsed="false">
      <c r="A22" s="320" t="s">
        <v>129</v>
      </c>
      <c r="B22" s="320"/>
      <c r="C22" s="320"/>
      <c r="D22" s="318" t="s">
        <v>604</v>
      </c>
      <c r="E22" s="323"/>
      <c r="F22" s="323"/>
      <c r="G22" s="318" t="n">
        <v>6</v>
      </c>
      <c r="H22" s="324"/>
    </row>
    <row r="23" customFormat="false" ht="15" hidden="false" customHeight="false" outlineLevel="0" collapsed="false">
      <c r="A23" s="320" t="s">
        <v>133</v>
      </c>
      <c r="B23" s="320"/>
      <c r="C23" s="320"/>
      <c r="D23" s="318" t="s">
        <v>607</v>
      </c>
      <c r="E23" s="323"/>
      <c r="F23" s="323"/>
      <c r="G23" s="318" t="n">
        <v>6</v>
      </c>
      <c r="H23" s="324"/>
    </row>
    <row r="24" customFormat="false" ht="15" hidden="false" customHeight="false" outlineLevel="0" collapsed="false">
      <c r="A24" s="320" t="s">
        <v>137</v>
      </c>
      <c r="B24" s="320"/>
      <c r="C24" s="320"/>
      <c r="D24" s="325" t="s">
        <v>607</v>
      </c>
      <c r="E24" s="323"/>
      <c r="F24" s="323"/>
      <c r="G24" s="318" t="n">
        <v>6</v>
      </c>
      <c r="H24" s="324"/>
    </row>
    <row r="25" customFormat="false" ht="15" hidden="false" customHeight="false" outlineLevel="0" collapsed="false">
      <c r="A25" s="320" t="s">
        <v>141</v>
      </c>
      <c r="B25" s="320"/>
      <c r="C25" s="320"/>
      <c r="D25" s="318" t="s">
        <v>608</v>
      </c>
      <c r="E25" s="323"/>
      <c r="F25" s="323"/>
      <c r="G25" s="318" t="n">
        <v>6</v>
      </c>
      <c r="H25" s="324"/>
    </row>
    <row r="26" customFormat="false" ht="15" hidden="false" customHeight="false" outlineLevel="0" collapsed="false">
      <c r="A26" s="320" t="s">
        <v>143</v>
      </c>
      <c r="B26" s="320"/>
      <c r="C26" s="320"/>
      <c r="D26" s="318" t="s">
        <v>608</v>
      </c>
      <c r="E26" s="323"/>
      <c r="F26" s="323"/>
      <c r="G26" s="318" t="n">
        <v>10</v>
      </c>
      <c r="H26" s="324"/>
    </row>
    <row r="27" customFormat="false" ht="15" hidden="false" customHeight="false" outlineLevel="0" collapsed="false">
      <c r="A27" s="320" t="s">
        <v>147</v>
      </c>
      <c r="B27" s="320"/>
      <c r="C27" s="320"/>
      <c r="D27" s="318" t="s">
        <v>608</v>
      </c>
      <c r="E27" s="323"/>
      <c r="F27" s="323"/>
      <c r="G27" s="318" t="n">
        <v>14</v>
      </c>
      <c r="H27" s="324"/>
    </row>
    <row r="29" customFormat="false" ht="15" hidden="false" customHeight="false" outlineLevel="0" collapsed="false">
      <c r="A29" s="48" t="s">
        <v>609</v>
      </c>
      <c r="B29" s="48" t="s">
        <v>610</v>
      </c>
    </row>
    <row r="30" customFormat="false" ht="15" hidden="false" customHeight="true" outlineLevel="0" collapsed="false">
      <c r="A30" s="118" t="s">
        <v>153</v>
      </c>
      <c r="B30" s="118"/>
      <c r="C30" s="118"/>
      <c r="D30" s="326" t="s">
        <v>611</v>
      </c>
      <c r="E30" s="327" t="s">
        <v>612</v>
      </c>
      <c r="F30" s="327"/>
    </row>
    <row r="31" customFormat="false" ht="15" hidden="false" customHeight="false" outlineLevel="0" collapsed="false">
      <c r="A31" s="118"/>
      <c r="B31" s="118"/>
      <c r="C31" s="118"/>
      <c r="D31" s="326"/>
      <c r="E31" s="327"/>
      <c r="F31" s="327"/>
    </row>
    <row r="32" customFormat="false" ht="15" hidden="false" customHeight="true" outlineLevel="0" collapsed="false">
      <c r="A32" s="132" t="s">
        <v>125</v>
      </c>
      <c r="B32" s="132"/>
      <c r="C32" s="132"/>
      <c r="D32" s="328" t="n">
        <v>2</v>
      </c>
      <c r="E32" s="329" t="n">
        <f aca="false">G21*D32*'2.1.c Insumos'!$F$22</f>
        <v>0</v>
      </c>
      <c r="F32" s="329"/>
    </row>
    <row r="33" customFormat="false" ht="15" hidden="false" customHeight="false" outlineLevel="0" collapsed="false">
      <c r="A33" s="132" t="s">
        <v>129</v>
      </c>
      <c r="B33" s="132"/>
      <c r="C33" s="132"/>
      <c r="D33" s="328" t="n">
        <v>2</v>
      </c>
      <c r="E33" s="329" t="n">
        <f aca="false">G22*D33*'2.1.c Insumos'!$F$22</f>
        <v>0</v>
      </c>
      <c r="F33" s="329"/>
    </row>
    <row r="34" customFormat="false" ht="15" hidden="false" customHeight="true" outlineLevel="0" collapsed="false">
      <c r="A34" s="132" t="s">
        <v>133</v>
      </c>
      <c r="B34" s="132"/>
      <c r="C34" s="132"/>
      <c r="D34" s="328" t="n">
        <v>2</v>
      </c>
      <c r="E34" s="329" t="n">
        <f aca="false">G23*D34*'2.1.c Insumos'!$F$23</f>
        <v>7380</v>
      </c>
      <c r="F34" s="329"/>
    </row>
    <row r="35" customFormat="false" ht="15" hidden="false" customHeight="false" outlineLevel="0" collapsed="false">
      <c r="A35" s="132" t="s">
        <v>137</v>
      </c>
      <c r="B35" s="132"/>
      <c r="C35" s="132"/>
      <c r="D35" s="328" t="n">
        <v>2</v>
      </c>
      <c r="E35" s="329" t="n">
        <f aca="false">G24*D35*'2.1.c Insumos'!$F$23</f>
        <v>7380</v>
      </c>
      <c r="F35" s="329"/>
    </row>
    <row r="36" customFormat="false" ht="15" hidden="false" customHeight="true" outlineLevel="0" collapsed="false">
      <c r="A36" s="132" t="s">
        <v>141</v>
      </c>
      <c r="B36" s="132"/>
      <c r="C36" s="132"/>
      <c r="D36" s="328" t="n">
        <v>2</v>
      </c>
      <c r="E36" s="329" t="n">
        <f aca="false">G25*D36*'2.1.c Insumos'!$F$24</f>
        <v>0</v>
      </c>
      <c r="F36" s="329"/>
    </row>
    <row r="37" customFormat="false" ht="15" hidden="false" customHeight="false" outlineLevel="0" collapsed="false">
      <c r="A37" s="132" t="s">
        <v>143</v>
      </c>
      <c r="B37" s="132"/>
      <c r="C37" s="132"/>
      <c r="D37" s="328" t="n">
        <v>2</v>
      </c>
      <c r="E37" s="329" t="n">
        <f aca="false">G26*D37*'2.1.c Insumos'!$F$24</f>
        <v>0</v>
      </c>
      <c r="F37" s="329"/>
    </row>
    <row r="38" customFormat="false" ht="15" hidden="false" customHeight="false" outlineLevel="0" collapsed="false">
      <c r="A38" s="132" t="s">
        <v>147</v>
      </c>
      <c r="B38" s="132"/>
      <c r="C38" s="132"/>
      <c r="D38" s="328" t="n">
        <v>2</v>
      </c>
      <c r="E38" s="329" t="n">
        <f aca="false">G27*D38*'2.1.c Insumos'!$F$24</f>
        <v>0</v>
      </c>
      <c r="F38" s="329"/>
    </row>
    <row r="40" customFormat="false" ht="15" hidden="false" customHeight="false" outlineLevel="0" collapsed="false">
      <c r="A40" s="48" t="s">
        <v>613</v>
      </c>
      <c r="B40" s="48" t="s">
        <v>614</v>
      </c>
    </row>
    <row r="41" customFormat="false" ht="15" hidden="false" customHeight="true" outlineLevel="0" collapsed="false">
      <c r="A41" s="118" t="s">
        <v>153</v>
      </c>
      <c r="B41" s="118"/>
      <c r="C41" s="118"/>
      <c r="D41" s="327" t="s">
        <v>615</v>
      </c>
    </row>
    <row r="42" customFormat="false" ht="15" hidden="false" customHeight="true" outlineLevel="0" collapsed="false">
      <c r="A42" s="118"/>
      <c r="B42" s="118"/>
      <c r="C42" s="118"/>
      <c r="D42" s="327"/>
      <c r="J42" s="15" t="s">
        <v>16</v>
      </c>
      <c r="K42" s="15"/>
      <c r="L42" s="15"/>
      <c r="M42" s="15"/>
    </row>
    <row r="43" customFormat="false" ht="15" hidden="false" customHeight="true" outlineLevel="0" collapsed="false">
      <c r="A43" s="132" t="s">
        <v>125</v>
      </c>
      <c r="B43" s="132"/>
      <c r="C43" s="132"/>
      <c r="D43" s="329" t="n">
        <f aca="false">G21*'2.1.c Insumos'!$F$19</f>
        <v>0</v>
      </c>
      <c r="J43" s="17"/>
      <c r="K43" s="18"/>
      <c r="L43" s="18"/>
      <c r="M43" s="19"/>
    </row>
    <row r="44" customFormat="false" ht="15" hidden="false" customHeight="false" outlineLevel="0" collapsed="false">
      <c r="A44" s="132" t="s">
        <v>129</v>
      </c>
      <c r="B44" s="132"/>
      <c r="C44" s="132"/>
      <c r="D44" s="329" t="n">
        <f aca="false">G22*'2.1.c Insumos'!$F$19</f>
        <v>0</v>
      </c>
      <c r="E44" s="49"/>
      <c r="J44" s="20"/>
      <c r="K44" s="21"/>
      <c r="L44" s="22" t="s">
        <v>18</v>
      </c>
      <c r="M44" s="23"/>
    </row>
    <row r="45" customFormat="false" ht="15" hidden="false" customHeight="false" outlineLevel="0" collapsed="false">
      <c r="A45" s="132" t="s">
        <v>133</v>
      </c>
      <c r="B45" s="132"/>
      <c r="C45" s="132"/>
      <c r="D45" s="329" t="n">
        <f aca="false">G23*'2.1.c Insumos'!$F$20</f>
        <v>14280</v>
      </c>
      <c r="E45" s="49"/>
      <c r="J45" s="20"/>
      <c r="K45" s="27"/>
      <c r="L45" s="22" t="s">
        <v>20</v>
      </c>
      <c r="M45" s="23"/>
    </row>
    <row r="46" customFormat="false" ht="15" hidden="false" customHeight="false" outlineLevel="0" collapsed="false">
      <c r="A46" s="132" t="s">
        <v>137</v>
      </c>
      <c r="B46" s="132"/>
      <c r="C46" s="132"/>
      <c r="D46" s="329" t="n">
        <f aca="false">G24*'2.1.c Insumos'!$F$20</f>
        <v>14280</v>
      </c>
      <c r="E46" s="49"/>
      <c r="J46" s="20"/>
      <c r="K46" s="28"/>
      <c r="L46" s="22" t="s">
        <v>22</v>
      </c>
      <c r="M46" s="23"/>
    </row>
    <row r="47" customFormat="false" ht="15.75" hidden="false" customHeight="false" outlineLevel="0" collapsed="false">
      <c r="A47" s="132" t="s">
        <v>141</v>
      </c>
      <c r="B47" s="132"/>
      <c r="C47" s="132"/>
      <c r="D47" s="329" t="n">
        <f aca="false">G25*'2.1.c Insumos'!$F$21</f>
        <v>0</v>
      </c>
      <c r="E47" s="49"/>
      <c r="J47" s="29"/>
      <c r="K47" s="30"/>
      <c r="L47" s="30"/>
      <c r="M47" s="31"/>
    </row>
    <row r="48" customFormat="false" ht="15" hidden="false" customHeight="false" outlineLevel="0" collapsed="false">
      <c r="A48" s="132" t="s">
        <v>143</v>
      </c>
      <c r="B48" s="132"/>
      <c r="C48" s="132"/>
      <c r="D48" s="329" t="n">
        <f aca="false">G26*'2.1.c Insumos'!$F$21</f>
        <v>0</v>
      </c>
      <c r="E48" s="49"/>
    </row>
    <row r="49" customFormat="false" ht="15" hidden="false" customHeight="false" outlineLevel="0" collapsed="false">
      <c r="A49" s="132" t="s">
        <v>147</v>
      </c>
      <c r="B49" s="132"/>
      <c r="C49" s="132"/>
      <c r="D49" s="329" t="n">
        <f aca="false">G27*'2.1.c Insumos'!$F$21</f>
        <v>0</v>
      </c>
      <c r="E49" s="49"/>
    </row>
    <row r="51" customFormat="false" ht="15" hidden="false" customHeight="false" outlineLevel="0" collapsed="false">
      <c r="A51" s="48" t="s">
        <v>616</v>
      </c>
      <c r="B51" s="48" t="s">
        <v>617</v>
      </c>
    </row>
    <row r="52" customFormat="false" ht="15" hidden="false" customHeight="true" outlineLevel="0" collapsed="false">
      <c r="A52" s="118" t="s">
        <v>153</v>
      </c>
      <c r="B52" s="118"/>
      <c r="C52" s="118"/>
      <c r="D52" s="326" t="s">
        <v>618</v>
      </c>
      <c r="E52" s="327" t="s">
        <v>619</v>
      </c>
      <c r="F52" s="327"/>
    </row>
    <row r="53" customFormat="false" ht="15" hidden="false" customHeight="true" outlineLevel="0" collapsed="false">
      <c r="A53" s="118"/>
      <c r="B53" s="118"/>
      <c r="C53" s="118"/>
      <c r="D53" s="326"/>
      <c r="E53" s="327"/>
      <c r="F53" s="327"/>
    </row>
    <row r="54" customFormat="false" ht="15" hidden="false" customHeight="true" outlineLevel="0" collapsed="false">
      <c r="A54" s="132" t="s">
        <v>125</v>
      </c>
      <c r="B54" s="132"/>
      <c r="C54" s="132"/>
      <c r="D54" s="330" t="n">
        <f aca="false">E10</f>
        <v>125000</v>
      </c>
      <c r="E54" s="329" t="n">
        <f aca="false">(E32+D43)*(SUM('1.3 Frota Total'!C19:F19))/D54</f>
        <v>0</v>
      </c>
      <c r="F54" s="329"/>
    </row>
    <row r="55" customFormat="false" ht="15" hidden="false" customHeight="false" outlineLevel="0" collapsed="false">
      <c r="A55" s="132" t="s">
        <v>129</v>
      </c>
      <c r="B55" s="132"/>
      <c r="C55" s="132"/>
      <c r="D55" s="330" t="n">
        <f aca="false">E11</f>
        <v>125000</v>
      </c>
      <c r="E55" s="329" t="n">
        <f aca="false">(E33+D44)*(SUM('1.3 Frota Total'!C20:F20))/D55</f>
        <v>0</v>
      </c>
      <c r="F55" s="329"/>
      <c r="G55" s="49"/>
    </row>
    <row r="56" customFormat="false" ht="15" hidden="false" customHeight="false" outlineLevel="0" collapsed="false">
      <c r="A56" s="132" t="s">
        <v>133</v>
      </c>
      <c r="B56" s="132"/>
      <c r="C56" s="132"/>
      <c r="D56" s="330" t="n">
        <f aca="false">E12</f>
        <v>125000</v>
      </c>
      <c r="E56" s="329" t="n">
        <f aca="false">(E34+D45)*(SUM('1.3 Frota Total'!C21:F21))/D56</f>
        <v>0</v>
      </c>
      <c r="F56" s="329"/>
      <c r="G56" s="49"/>
    </row>
    <row r="57" customFormat="false" ht="15" hidden="false" customHeight="false" outlineLevel="0" collapsed="false">
      <c r="A57" s="132" t="s">
        <v>137</v>
      </c>
      <c r="B57" s="132"/>
      <c r="C57" s="132"/>
      <c r="D57" s="330" t="n">
        <f aca="false">E13</f>
        <v>105000</v>
      </c>
      <c r="E57" s="329" t="n">
        <f aca="false">(E35+D46)*(SUM('1.3 Frota Total'!C22:F22))/D57</f>
        <v>2.888</v>
      </c>
      <c r="F57" s="329"/>
      <c r="G57" s="49"/>
    </row>
    <row r="58" customFormat="false" ht="15" hidden="false" customHeight="false" outlineLevel="0" collapsed="false">
      <c r="A58" s="132" t="s">
        <v>141</v>
      </c>
      <c r="B58" s="132"/>
      <c r="C58" s="132"/>
      <c r="D58" s="330" t="n">
        <f aca="false">E14</f>
        <v>105000</v>
      </c>
      <c r="E58" s="329" t="n">
        <f aca="false">(E36+D47)*(SUM('1.3 Frota Total'!C23:F23))/D58</f>
        <v>0</v>
      </c>
      <c r="F58" s="329"/>
      <c r="G58" s="49"/>
    </row>
    <row r="59" customFormat="false" ht="15" hidden="false" customHeight="false" outlineLevel="0" collapsed="false">
      <c r="A59" s="132" t="s">
        <v>143</v>
      </c>
      <c r="B59" s="132"/>
      <c r="C59" s="132"/>
      <c r="D59" s="330" t="n">
        <f aca="false">E15</f>
        <v>105000</v>
      </c>
      <c r="E59" s="329" t="n">
        <f aca="false">(E37+D48)*(SUM('1.3 Frota Total'!C24:F24))/D59</f>
        <v>0</v>
      </c>
      <c r="F59" s="329"/>
      <c r="G59" s="49"/>
    </row>
    <row r="60" customFormat="false" ht="15" hidden="false" customHeight="false" outlineLevel="0" collapsed="false">
      <c r="A60" s="132" t="s">
        <v>147</v>
      </c>
      <c r="B60" s="132"/>
      <c r="C60" s="132"/>
      <c r="D60" s="330" t="n">
        <f aca="false">E16</f>
        <v>125000</v>
      </c>
      <c r="E60" s="329" t="n">
        <f aca="false">(E38+D49)*(SUM('1.3 Frota Total'!C25:F25))/D60</f>
        <v>0</v>
      </c>
      <c r="F60" s="329"/>
      <c r="G60" s="49"/>
    </row>
  </sheetData>
  <mergeCells count="78">
    <mergeCell ref="A4:C4"/>
    <mergeCell ref="J4:M4"/>
    <mergeCell ref="A5:C5"/>
    <mergeCell ref="A8:C9"/>
    <mergeCell ref="D8:D9"/>
    <mergeCell ref="E8:F9"/>
    <mergeCell ref="A10:C10"/>
    <mergeCell ref="E10:F10"/>
    <mergeCell ref="G10:G16"/>
    <mergeCell ref="A11:C11"/>
    <mergeCell ref="E11:F11"/>
    <mergeCell ref="A12:C12"/>
    <mergeCell ref="E12:F12"/>
    <mergeCell ref="A13:C13"/>
    <mergeCell ref="E13:F13"/>
    <mergeCell ref="A14:C14"/>
    <mergeCell ref="E14:F14"/>
    <mergeCell ref="A15:C15"/>
    <mergeCell ref="E15:F15"/>
    <mergeCell ref="A16:C16"/>
    <mergeCell ref="E16:F16"/>
    <mergeCell ref="A19:C20"/>
    <mergeCell ref="D19:D20"/>
    <mergeCell ref="E19:F20"/>
    <mergeCell ref="G19:G20"/>
    <mergeCell ref="A21:C21"/>
    <mergeCell ref="E21:F27"/>
    <mergeCell ref="H21:H27"/>
    <mergeCell ref="A22:C22"/>
    <mergeCell ref="A23:C23"/>
    <mergeCell ref="A24:C24"/>
    <mergeCell ref="A25:C25"/>
    <mergeCell ref="A26:C26"/>
    <mergeCell ref="A27:C27"/>
    <mergeCell ref="A30:C31"/>
    <mergeCell ref="D30:D31"/>
    <mergeCell ref="E30: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41:C42"/>
    <mergeCell ref="D41:D42"/>
    <mergeCell ref="J42:M42"/>
    <mergeCell ref="A43:C43"/>
    <mergeCell ref="A44:C44"/>
    <mergeCell ref="A45:C45"/>
    <mergeCell ref="A46:C46"/>
    <mergeCell ref="A47:C47"/>
    <mergeCell ref="A48:C48"/>
    <mergeCell ref="A49:C49"/>
    <mergeCell ref="A52:C53"/>
    <mergeCell ref="D52:D53"/>
    <mergeCell ref="E52:F53"/>
    <mergeCell ref="A54:C54"/>
    <mergeCell ref="E54:F54"/>
    <mergeCell ref="A55:C55"/>
    <mergeCell ref="E55:F55"/>
    <mergeCell ref="A56:C56"/>
    <mergeCell ref="E56:F56"/>
    <mergeCell ref="A57:C57"/>
    <mergeCell ref="E57:F57"/>
    <mergeCell ref="A58:C58"/>
    <mergeCell ref="E58:F58"/>
    <mergeCell ref="A59:C59"/>
    <mergeCell ref="E59:F59"/>
    <mergeCell ref="A60:C60"/>
    <mergeCell ref="E60:F60"/>
  </mergeCells>
  <hyperlinks>
    <hyperlink ref="A1" location="'2.1.c Insumos'!A1" display="ANEXO VI – VIDA ÚTIL E RECAPAGEM DE PNEUS"/>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Q114"/>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D10" activeCellId="0" sqref="D10"/>
    </sheetView>
  </sheetViews>
  <sheetFormatPr defaultColWidth="11.53515625" defaultRowHeight="12.75" zeroHeight="false" outlineLevelRow="0" outlineLevelCol="0"/>
  <cols>
    <col collapsed="false" customWidth="true" hidden="false" outlineLevel="0" max="1" min="1" style="56" width="5.86"/>
    <col collapsed="false" customWidth="true" hidden="false" outlineLevel="0" max="2" min="2" style="56" width="28.29"/>
    <col collapsed="false" customWidth="true" hidden="false" outlineLevel="0" max="3" min="3" style="56" width="13.29"/>
    <col collapsed="false" customWidth="true" hidden="false" outlineLevel="0" max="4" min="4" style="56" width="9.42"/>
    <col collapsed="false" customWidth="true" hidden="false" outlineLevel="0" max="11" min="5" style="56" width="13.29"/>
    <col collapsed="false" customWidth="true" hidden="false" outlineLevel="0" max="12" min="12" style="57" width="13.29"/>
    <col collapsed="false" customWidth="true" hidden="false" outlineLevel="0" max="13" min="13" style="56" width="13.29"/>
    <col collapsed="false" customWidth="true" hidden="false" outlineLevel="0" max="16" min="14" style="57" width="16.29"/>
    <col collapsed="false" customWidth="true" hidden="false" outlineLevel="0" max="17" min="17" style="57" width="9.14"/>
    <col collapsed="false" customWidth="false" hidden="true" outlineLevel="0" max="1024" min="18" style="57" width="11.52"/>
  </cols>
  <sheetData>
    <row r="1" customFormat="false" ht="15.75" hidden="false" customHeight="false" outlineLevel="0" collapsed="false">
      <c r="A1" s="13" t="s">
        <v>77</v>
      </c>
      <c r="B1" s="13"/>
      <c r="C1" s="13"/>
      <c r="D1" s="13"/>
      <c r="E1" s="13"/>
      <c r="F1" s="13"/>
      <c r="G1" s="13"/>
      <c r="H1" s="13"/>
      <c r="I1" s="13"/>
      <c r="J1" s="13"/>
      <c r="K1" s="13"/>
      <c r="L1" s="13"/>
    </row>
    <row r="2" customFormat="false" ht="15.75" hidden="false" customHeight="false" outlineLevel="0" collapsed="false">
      <c r="A2" s="58"/>
      <c r="B2" s="58"/>
      <c r="C2" s="58"/>
      <c r="D2" s="58"/>
      <c r="E2" s="58"/>
      <c r="F2" s="58"/>
      <c r="G2" s="58"/>
      <c r="H2" s="58"/>
      <c r="I2" s="58"/>
      <c r="J2" s="58"/>
      <c r="K2" s="59" t="s">
        <v>16</v>
      </c>
      <c r="L2" s="59"/>
      <c r="M2" s="59"/>
    </row>
    <row r="3" s="65" customFormat="true" ht="15" hidden="false" customHeight="true" outlineLevel="0" collapsed="false">
      <c r="A3" s="60" t="s">
        <v>78</v>
      </c>
      <c r="B3" s="61" t="s">
        <v>79</v>
      </c>
      <c r="C3" s="61"/>
      <c r="D3" s="62" t="n">
        <v>1</v>
      </c>
      <c r="E3" s="63"/>
      <c r="F3" s="64"/>
      <c r="G3" s="64"/>
      <c r="H3" s="64"/>
      <c r="I3" s="64"/>
      <c r="J3" s="64"/>
      <c r="K3" s="17"/>
      <c r="L3" s="18"/>
      <c r="M3" s="18"/>
    </row>
    <row r="4" customFormat="false" ht="15" hidden="false" customHeight="false" outlineLevel="0" collapsed="false">
      <c r="A4" s="58"/>
      <c r="B4" s="58"/>
      <c r="C4" s="58"/>
      <c r="D4" s="58"/>
      <c r="E4" s="58"/>
      <c r="F4" s="58"/>
      <c r="G4" s="58"/>
      <c r="H4" s="58"/>
      <c r="I4" s="58"/>
      <c r="J4" s="58"/>
      <c r="K4" s="20"/>
      <c r="L4" s="21"/>
      <c r="M4" s="22" t="s">
        <v>18</v>
      </c>
    </row>
    <row r="5" customFormat="false" ht="15" hidden="false" customHeight="false" outlineLevel="0" collapsed="false">
      <c r="A5" s="60" t="s">
        <v>80</v>
      </c>
      <c r="B5" s="58" t="s">
        <v>81</v>
      </c>
      <c r="C5" s="58"/>
      <c r="D5" s="58"/>
      <c r="E5" s="58"/>
      <c r="F5" s="58"/>
      <c r="G5" s="58"/>
      <c r="H5" s="58"/>
      <c r="I5" s="58"/>
      <c r="J5" s="58"/>
      <c r="K5" s="20"/>
      <c r="L5" s="27"/>
      <c r="M5" s="22" t="s">
        <v>20</v>
      </c>
    </row>
    <row r="6" s="65" customFormat="true" ht="15" hidden="false" customHeight="false" outlineLevel="0" collapsed="false">
      <c r="A6" s="60"/>
      <c r="B6" s="66" t="s">
        <v>82</v>
      </c>
      <c r="C6" s="66"/>
      <c r="D6" s="62" t="s">
        <v>83</v>
      </c>
      <c r="E6" s="58" t="s">
        <v>84</v>
      </c>
      <c r="F6" s="64"/>
      <c r="G6" s="64"/>
      <c r="H6" s="64"/>
      <c r="I6" s="64"/>
      <c r="J6" s="64"/>
      <c r="K6" s="20"/>
      <c r="L6" s="28"/>
      <c r="M6" s="22" t="s">
        <v>22</v>
      </c>
    </row>
    <row r="7" s="65" customFormat="true" ht="15.75" hidden="false" customHeight="true" outlineLevel="0" collapsed="false">
      <c r="A7" s="60"/>
      <c r="B7" s="67" t="s">
        <v>41</v>
      </c>
      <c r="C7" s="67"/>
      <c r="D7" s="62"/>
      <c r="E7" s="58" t="s">
        <v>85</v>
      </c>
      <c r="F7" s="64"/>
      <c r="G7" s="64"/>
      <c r="H7" s="64"/>
      <c r="I7" s="64"/>
      <c r="J7" s="64"/>
      <c r="K7" s="29"/>
      <c r="L7" s="30"/>
      <c r="M7" s="30"/>
    </row>
    <row r="8" customFormat="false" ht="12.75" hidden="false" customHeight="false" outlineLevel="0" collapsed="false">
      <c r="A8" s="58"/>
      <c r="B8" s="58"/>
      <c r="C8" s="58"/>
      <c r="D8" s="58"/>
      <c r="E8" s="58"/>
      <c r="F8" s="58"/>
      <c r="G8" s="58"/>
      <c r="H8" s="58"/>
      <c r="I8" s="58"/>
      <c r="J8" s="58"/>
      <c r="K8" s="58"/>
      <c r="L8" s="58"/>
    </row>
    <row r="9" customFormat="false" ht="12.75" hidden="false" customHeight="false" outlineLevel="0" collapsed="false">
      <c r="A9" s="60" t="s">
        <v>86</v>
      </c>
      <c r="B9" s="58" t="s">
        <v>87</v>
      </c>
      <c r="C9" s="58"/>
      <c r="D9" s="58"/>
      <c r="E9" s="58"/>
      <c r="F9" s="58"/>
      <c r="G9" s="58"/>
      <c r="H9" s="58"/>
      <c r="I9" s="58"/>
      <c r="J9" s="58"/>
      <c r="K9" s="58"/>
      <c r="L9" s="58"/>
    </row>
    <row r="10" customFormat="false" ht="12.75" hidden="false" customHeight="false" outlineLevel="0" collapsed="false">
      <c r="A10" s="58"/>
      <c r="B10" s="68" t="s">
        <v>88</v>
      </c>
      <c r="C10" s="68"/>
      <c r="D10" s="69" t="n">
        <v>52647.14</v>
      </c>
      <c r="E10" s="70"/>
      <c r="F10" s="58" t="s">
        <v>89</v>
      </c>
      <c r="G10" s="71"/>
      <c r="H10" s="58"/>
      <c r="I10" s="58"/>
      <c r="J10" s="58"/>
      <c r="K10" s="58"/>
      <c r="L10" s="58"/>
    </row>
    <row r="11" customFormat="false" ht="12.75" hidden="false" customHeight="false" outlineLevel="0" collapsed="false">
      <c r="A11" s="58"/>
      <c r="B11" s="58"/>
      <c r="C11" s="58"/>
      <c r="D11" s="58"/>
      <c r="E11" s="58"/>
      <c r="F11" s="58"/>
      <c r="G11" s="58"/>
      <c r="H11" s="58"/>
      <c r="I11" s="58"/>
      <c r="J11" s="58"/>
      <c r="K11" s="58"/>
      <c r="L11" s="58"/>
    </row>
    <row r="12" customFormat="false" ht="12.75" hidden="false" customHeight="false" outlineLevel="0" collapsed="false">
      <c r="A12" s="60" t="s">
        <v>90</v>
      </c>
      <c r="B12" s="58" t="s">
        <v>91</v>
      </c>
      <c r="C12" s="58"/>
      <c r="D12" s="58"/>
      <c r="E12" s="58"/>
      <c r="F12" s="58"/>
      <c r="G12" s="58"/>
      <c r="H12" s="58"/>
      <c r="I12" s="58"/>
      <c r="J12" s="58"/>
      <c r="K12" s="58"/>
      <c r="L12" s="58"/>
    </row>
    <row r="13" s="65" customFormat="true" ht="32.25" hidden="false" customHeight="true" outlineLevel="0" collapsed="false">
      <c r="A13" s="72" t="s">
        <v>92</v>
      </c>
      <c r="B13" s="72" t="s">
        <v>93</v>
      </c>
      <c r="C13" s="72" t="s">
        <v>94</v>
      </c>
      <c r="D13" s="72"/>
      <c r="E13" s="72"/>
      <c r="F13" s="72"/>
      <c r="G13" s="72" t="s">
        <v>95</v>
      </c>
      <c r="H13" s="72"/>
      <c r="I13" s="72"/>
      <c r="J13" s="72" t="s">
        <v>96</v>
      </c>
      <c r="K13" s="72"/>
      <c r="L13" s="72"/>
      <c r="M13" s="56"/>
      <c r="N13" s="73" t="s">
        <v>97</v>
      </c>
      <c r="O13" s="73"/>
      <c r="P13" s="73"/>
      <c r="Q13" s="73"/>
    </row>
    <row r="14" s="65" customFormat="true" ht="12.75" hidden="false" customHeight="true" outlineLevel="0" collapsed="false">
      <c r="A14" s="72"/>
      <c r="B14" s="72"/>
      <c r="C14" s="72" t="s">
        <v>98</v>
      </c>
      <c r="D14" s="72"/>
      <c r="E14" s="72"/>
      <c r="F14" s="72"/>
      <c r="G14" s="72" t="s">
        <v>99</v>
      </c>
      <c r="H14" s="72"/>
      <c r="I14" s="72"/>
      <c r="J14" s="72" t="s">
        <v>100</v>
      </c>
      <c r="K14" s="72"/>
      <c r="L14" s="72"/>
      <c r="M14" s="56"/>
      <c r="N14" s="74" t="s">
        <v>100</v>
      </c>
      <c r="O14" s="74"/>
      <c r="P14" s="74"/>
      <c r="Q14" s="74"/>
    </row>
    <row r="15" s="65" customFormat="true" ht="25.5" hidden="false" customHeight="true" outlineLevel="0" collapsed="false">
      <c r="A15" s="72"/>
      <c r="B15" s="72"/>
      <c r="C15" s="72" t="s">
        <v>101</v>
      </c>
      <c r="D15" s="72"/>
      <c r="E15" s="72" t="s">
        <v>102</v>
      </c>
      <c r="F15" s="72" t="s">
        <v>103</v>
      </c>
      <c r="G15" s="75" t="s">
        <v>101</v>
      </c>
      <c r="H15" s="72" t="s">
        <v>102</v>
      </c>
      <c r="I15" s="72" t="s">
        <v>103</v>
      </c>
      <c r="J15" s="72" t="s">
        <v>101</v>
      </c>
      <c r="K15" s="72" t="s">
        <v>102</v>
      </c>
      <c r="L15" s="72" t="s">
        <v>103</v>
      </c>
      <c r="M15" s="56"/>
      <c r="N15" s="76" t="s">
        <v>101</v>
      </c>
      <c r="O15" s="76" t="s">
        <v>102</v>
      </c>
      <c r="P15" s="76" t="s">
        <v>103</v>
      </c>
      <c r="Q15" s="76" t="s">
        <v>104</v>
      </c>
    </row>
    <row r="16" customFormat="false" ht="12.75" hidden="false" customHeight="false" outlineLevel="0" collapsed="false">
      <c r="A16" s="77" t="n">
        <v>1</v>
      </c>
      <c r="B16" s="78" t="s">
        <v>105</v>
      </c>
      <c r="C16" s="79" t="n">
        <v>22</v>
      </c>
      <c r="D16" s="79"/>
      <c r="E16" s="80" t="n">
        <v>4</v>
      </c>
      <c r="F16" s="80" t="n">
        <v>4</v>
      </c>
      <c r="G16" s="81" t="n">
        <v>12</v>
      </c>
      <c r="H16" s="80" t="n">
        <v>12</v>
      </c>
      <c r="I16" s="80" t="n">
        <v>6</v>
      </c>
      <c r="J16" s="80" t="n">
        <v>13.5</v>
      </c>
      <c r="K16" s="80" t="n">
        <v>13.5</v>
      </c>
      <c r="L16" s="80" t="n">
        <v>13.5</v>
      </c>
      <c r="N16" s="82" t="n">
        <f aca="false">((C16*G16*J16)/$D$3)+M16</f>
        <v>3564</v>
      </c>
      <c r="O16" s="82" t="n">
        <f aca="false">((E16*H16*K16)/$D$3)</f>
        <v>648</v>
      </c>
      <c r="P16" s="82" t="n">
        <f aca="false">((F16*I16*L16)/$D$3)</f>
        <v>324</v>
      </c>
      <c r="Q16" s="82" t="n">
        <f aca="false">SUM(N16:P16)</f>
        <v>4536</v>
      </c>
    </row>
    <row r="17" customFormat="false" ht="12.75" hidden="false" customHeight="false" outlineLevel="0" collapsed="false">
      <c r="A17" s="77" t="n">
        <v>2</v>
      </c>
      <c r="B17" s="79" t="s">
        <v>106</v>
      </c>
      <c r="C17" s="79" t="n">
        <f aca="false">C16</f>
        <v>22</v>
      </c>
      <c r="D17" s="79"/>
      <c r="E17" s="80" t="n">
        <f aca="false">E16</f>
        <v>4</v>
      </c>
      <c r="F17" s="80" t="n">
        <f aca="false">F16</f>
        <v>4</v>
      </c>
      <c r="G17" s="81" t="n">
        <v>11</v>
      </c>
      <c r="H17" s="80" t="n">
        <v>11</v>
      </c>
      <c r="I17" s="80" t="n">
        <v>3</v>
      </c>
      <c r="J17" s="80" t="n">
        <v>12</v>
      </c>
      <c r="K17" s="80" t="n">
        <v>12</v>
      </c>
      <c r="L17" s="80" t="n">
        <v>12</v>
      </c>
      <c r="N17" s="82" t="n">
        <f aca="false">((C17*G17*J17)/$D$3)+M17</f>
        <v>2904</v>
      </c>
      <c r="O17" s="82" t="n">
        <f aca="false">((E17*H17*K17)/$D$3)</f>
        <v>528</v>
      </c>
      <c r="P17" s="82" t="n">
        <f aca="false">((F17*I17*L17)/$D$3)</f>
        <v>144</v>
      </c>
      <c r="Q17" s="82" t="n">
        <f aca="false">SUM(N17:P17)</f>
        <v>3576</v>
      </c>
    </row>
    <row r="18" customFormat="false" ht="12.75" hidden="false" customHeight="false" outlineLevel="0" collapsed="false">
      <c r="A18" s="77" t="n">
        <v>3</v>
      </c>
      <c r="B18" s="79" t="s">
        <v>107</v>
      </c>
      <c r="C18" s="79" t="n">
        <f aca="false">C16</f>
        <v>22</v>
      </c>
      <c r="D18" s="79"/>
      <c r="E18" s="80" t="n">
        <f aca="false">E17</f>
        <v>4</v>
      </c>
      <c r="F18" s="80" t="n">
        <f aca="false">F17</f>
        <v>4</v>
      </c>
      <c r="G18" s="81" t="n">
        <v>27</v>
      </c>
      <c r="H18" s="80" t="n">
        <v>27</v>
      </c>
      <c r="I18" s="80" t="n">
        <v>13</v>
      </c>
      <c r="J18" s="80" t="n">
        <v>11.4</v>
      </c>
      <c r="K18" s="80" t="n">
        <v>11.4</v>
      </c>
      <c r="L18" s="80" t="n">
        <v>11.4</v>
      </c>
      <c r="N18" s="82" t="n">
        <f aca="false">((C18*G18*J18)/$D$3)+M18</f>
        <v>6771.6</v>
      </c>
      <c r="O18" s="82" t="n">
        <f aca="false">((E18*H18*K18)/$D$3)</f>
        <v>1231.2</v>
      </c>
      <c r="P18" s="82" t="n">
        <f aca="false">((F18*I18*L18)/$D$3)</f>
        <v>592.8</v>
      </c>
      <c r="Q18" s="82" t="n">
        <f aca="false">SUM(N18:P18)</f>
        <v>8595.6</v>
      </c>
    </row>
    <row r="19" customFormat="false" ht="12.75" hidden="false" customHeight="false" outlineLevel="0" collapsed="false">
      <c r="A19" s="77" t="n">
        <v>4</v>
      </c>
      <c r="B19" s="79" t="s">
        <v>108</v>
      </c>
      <c r="C19" s="79" t="n">
        <f aca="false">C17</f>
        <v>22</v>
      </c>
      <c r="D19" s="79"/>
      <c r="E19" s="80" t="n">
        <f aca="false">E18</f>
        <v>4</v>
      </c>
      <c r="F19" s="80" t="n">
        <f aca="false">F18</f>
        <v>4</v>
      </c>
      <c r="G19" s="81" t="n">
        <v>23</v>
      </c>
      <c r="H19" s="80" t="n">
        <v>23</v>
      </c>
      <c r="I19" s="80" t="n">
        <v>0</v>
      </c>
      <c r="J19" s="80" t="n">
        <v>11.4</v>
      </c>
      <c r="K19" s="80" t="n">
        <v>11.4</v>
      </c>
      <c r="L19" s="80" t="n">
        <v>11.4</v>
      </c>
      <c r="N19" s="82" t="n">
        <f aca="false">((C19*G19*J19)/$D$3)+M19</f>
        <v>5768.4</v>
      </c>
      <c r="O19" s="82" t="n">
        <f aca="false">((E19*H19*K19)/$D$3)</f>
        <v>1048.8</v>
      </c>
      <c r="P19" s="82" t="n">
        <f aca="false">((F19*I19*L19)/$D$3)</f>
        <v>0</v>
      </c>
      <c r="Q19" s="82" t="n">
        <f aca="false">SUM(N19:P19)</f>
        <v>6817.2</v>
      </c>
    </row>
    <row r="20" customFormat="false" ht="12.75" hidden="false" customHeight="false" outlineLevel="0" collapsed="false">
      <c r="A20" s="77" t="n">
        <v>5</v>
      </c>
      <c r="B20" s="79" t="s">
        <v>109</v>
      </c>
      <c r="C20" s="79" t="n">
        <f aca="false">C19</f>
        <v>22</v>
      </c>
      <c r="D20" s="79"/>
      <c r="E20" s="80" t="n">
        <f aca="false">E19</f>
        <v>4</v>
      </c>
      <c r="F20" s="80" t="n">
        <f aca="false">F19</f>
        <v>4</v>
      </c>
      <c r="G20" s="81" t="n">
        <v>14</v>
      </c>
      <c r="H20" s="80" t="n">
        <v>14</v>
      </c>
      <c r="I20" s="80" t="n">
        <v>6</v>
      </c>
      <c r="J20" s="80" t="n">
        <v>10</v>
      </c>
      <c r="K20" s="80" t="n">
        <v>10</v>
      </c>
      <c r="L20" s="80" t="n">
        <v>10</v>
      </c>
      <c r="N20" s="82" t="n">
        <f aca="false">((C20*G20*J20)/$D$3)+M20</f>
        <v>3080</v>
      </c>
      <c r="O20" s="82" t="n">
        <f aca="false">((E20*H20*K20)/$D$3)</f>
        <v>560</v>
      </c>
      <c r="P20" s="82" t="n">
        <f aca="false">((F20*I20*L20)/$D$3)</f>
        <v>240</v>
      </c>
      <c r="Q20" s="82" t="n">
        <f aca="false">SUM(N20:P20)</f>
        <v>3880</v>
      </c>
    </row>
    <row r="21" customFormat="false" ht="12.75" hidden="false" customHeight="false" outlineLevel="0" collapsed="false">
      <c r="A21" s="77" t="n">
        <v>6</v>
      </c>
      <c r="B21" s="79" t="s">
        <v>110</v>
      </c>
      <c r="C21" s="79" t="n">
        <f aca="false">C19</f>
        <v>22</v>
      </c>
      <c r="D21" s="79"/>
      <c r="E21" s="80" t="n">
        <f aca="false">E20</f>
        <v>4</v>
      </c>
      <c r="F21" s="80" t="n">
        <f aca="false">F20</f>
        <v>4</v>
      </c>
      <c r="G21" s="81" t="n">
        <v>8</v>
      </c>
      <c r="H21" s="80" t="n">
        <v>8</v>
      </c>
      <c r="I21" s="80" t="n">
        <v>0</v>
      </c>
      <c r="J21" s="80" t="n">
        <v>7</v>
      </c>
      <c r="K21" s="80" t="n">
        <v>7</v>
      </c>
      <c r="L21" s="80" t="n">
        <v>7</v>
      </c>
      <c r="N21" s="82" t="n">
        <f aca="false">((C21*G21*J21)/$D$3)+M21</f>
        <v>1232</v>
      </c>
      <c r="O21" s="82" t="n">
        <f aca="false">((E21*H21*K21)/$D$3)</f>
        <v>224</v>
      </c>
      <c r="P21" s="82" t="n">
        <f aca="false">((F21*I21*L21)/$D$3)</f>
        <v>0</v>
      </c>
      <c r="Q21" s="82" t="n">
        <f aca="false">SUM(N21:P21)</f>
        <v>1456</v>
      </c>
    </row>
    <row r="22" customFormat="false" ht="12.75" hidden="false" customHeight="false" outlineLevel="0" collapsed="false">
      <c r="A22" s="77" t="n">
        <v>7</v>
      </c>
      <c r="B22" s="79" t="s">
        <v>111</v>
      </c>
      <c r="C22" s="79" t="n">
        <f aca="false">C20</f>
        <v>22</v>
      </c>
      <c r="D22" s="79"/>
      <c r="E22" s="80" t="n">
        <f aca="false">E21</f>
        <v>4</v>
      </c>
      <c r="F22" s="80" t="n">
        <f aca="false">F21</f>
        <v>4</v>
      </c>
      <c r="G22" s="81" t="n">
        <v>15</v>
      </c>
      <c r="H22" s="80" t="n">
        <v>15</v>
      </c>
      <c r="I22" s="80" t="n">
        <v>6</v>
      </c>
      <c r="J22" s="80" t="n">
        <v>15</v>
      </c>
      <c r="K22" s="80" t="n">
        <v>15</v>
      </c>
      <c r="L22" s="80" t="n">
        <v>15</v>
      </c>
      <c r="N22" s="82" t="n">
        <f aca="false">((C22*G22*J22)/$D$3)+M22</f>
        <v>4950</v>
      </c>
      <c r="O22" s="82" t="n">
        <f aca="false">((E22*H22*K22)/$D$3)</f>
        <v>900</v>
      </c>
      <c r="P22" s="82" t="n">
        <f aca="false">((F22*I22*L22)/$D$3)</f>
        <v>360</v>
      </c>
      <c r="Q22" s="82" t="n">
        <f aca="false">SUM(N22:P22)</f>
        <v>6210</v>
      </c>
    </row>
    <row r="23" customFormat="false" ht="12.75" hidden="false" customHeight="false" outlineLevel="0" collapsed="false">
      <c r="A23" s="77" t="n">
        <v>8</v>
      </c>
      <c r="B23" s="79" t="s">
        <v>112</v>
      </c>
      <c r="C23" s="79" t="n">
        <f aca="false">C21</f>
        <v>22</v>
      </c>
      <c r="D23" s="79"/>
      <c r="E23" s="80" t="n">
        <f aca="false">E22</f>
        <v>4</v>
      </c>
      <c r="F23" s="80" t="n">
        <f aca="false">F22</f>
        <v>4</v>
      </c>
      <c r="G23" s="81" t="n">
        <v>21</v>
      </c>
      <c r="H23" s="80" t="n">
        <v>21</v>
      </c>
      <c r="I23" s="80" t="n">
        <v>6</v>
      </c>
      <c r="J23" s="80" t="n">
        <v>11</v>
      </c>
      <c r="K23" s="80" t="n">
        <v>11</v>
      </c>
      <c r="L23" s="80" t="n">
        <v>11</v>
      </c>
      <c r="N23" s="82" t="n">
        <f aca="false">((C23*G23*J23)/$D$3)+M23</f>
        <v>5082</v>
      </c>
      <c r="O23" s="82" t="n">
        <f aca="false">((E23*H23*K23)/$D$3)</f>
        <v>924</v>
      </c>
      <c r="P23" s="82" t="n">
        <f aca="false">((F23*I23*L23)/$D$3)</f>
        <v>264</v>
      </c>
      <c r="Q23" s="82" t="n">
        <f aca="false">SUM(N23:P23)</f>
        <v>6270</v>
      </c>
    </row>
    <row r="24" customFormat="false" ht="12.75" hidden="false" customHeight="false" outlineLevel="0" collapsed="false">
      <c r="A24" s="77" t="n">
        <v>9</v>
      </c>
      <c r="B24" s="79" t="s">
        <v>113</v>
      </c>
      <c r="C24" s="79" t="n">
        <f aca="false">C22</f>
        <v>22</v>
      </c>
      <c r="D24" s="79"/>
      <c r="E24" s="80" t="n">
        <f aca="false">E23</f>
        <v>4</v>
      </c>
      <c r="F24" s="80" t="n">
        <f aca="false">F23</f>
        <v>4</v>
      </c>
      <c r="G24" s="81" t="n">
        <v>19</v>
      </c>
      <c r="H24" s="80" t="n">
        <v>19</v>
      </c>
      <c r="I24" s="80" t="n">
        <v>6</v>
      </c>
      <c r="J24" s="80" t="n">
        <v>9.1</v>
      </c>
      <c r="K24" s="80" t="n">
        <v>9.1</v>
      </c>
      <c r="L24" s="80" t="n">
        <v>9.1</v>
      </c>
      <c r="N24" s="82" t="n">
        <f aca="false">((C24*G24*J24)/$D$3)+M24</f>
        <v>3803.8</v>
      </c>
      <c r="O24" s="82" t="n">
        <f aca="false">((E24*H24*K24)/$D$3)</f>
        <v>691.6</v>
      </c>
      <c r="P24" s="82" t="n">
        <f aca="false">((F24*I24*L24)/$D$3)</f>
        <v>218.4</v>
      </c>
      <c r="Q24" s="82" t="n">
        <f aca="false">SUM(N24:P24)</f>
        <v>4713.8</v>
      </c>
    </row>
    <row r="25" customFormat="false" ht="12.75" hidden="false" customHeight="false" outlineLevel="0" collapsed="false">
      <c r="A25" s="77" t="n">
        <v>10</v>
      </c>
      <c r="B25" s="79" t="s">
        <v>114</v>
      </c>
      <c r="C25" s="79" t="n">
        <f aca="false">C23</f>
        <v>22</v>
      </c>
      <c r="D25" s="79"/>
      <c r="E25" s="80" t="n">
        <f aca="false">E24</f>
        <v>4</v>
      </c>
      <c r="F25" s="80" t="n">
        <f aca="false">F24</f>
        <v>4</v>
      </c>
      <c r="G25" s="81" t="n">
        <v>9</v>
      </c>
      <c r="H25" s="80" t="n">
        <v>9</v>
      </c>
      <c r="I25" s="80" t="n">
        <v>3</v>
      </c>
      <c r="J25" s="80" t="n">
        <v>30</v>
      </c>
      <c r="K25" s="80" t="n">
        <v>30</v>
      </c>
      <c r="L25" s="80" t="n">
        <v>30</v>
      </c>
      <c r="N25" s="82" t="n">
        <f aca="false">((C25*G25*J25)/$D$3)+M25</f>
        <v>5940</v>
      </c>
      <c r="O25" s="82" t="n">
        <f aca="false">((E25*H25*K25)/$D$3)</f>
        <v>1080</v>
      </c>
      <c r="P25" s="82" t="n">
        <f aca="false">((F25*I25*L25)/$D$3)</f>
        <v>360</v>
      </c>
      <c r="Q25" s="82" t="n">
        <f aca="false">SUM(N25:P25)</f>
        <v>7380</v>
      </c>
    </row>
    <row r="26" customFormat="false" ht="12.75" hidden="false" customHeight="false" outlineLevel="0" collapsed="false">
      <c r="A26" s="77" t="n">
        <v>11</v>
      </c>
      <c r="B26" s="79" t="s">
        <v>115</v>
      </c>
      <c r="C26" s="79" t="n">
        <f aca="false">C24</f>
        <v>22</v>
      </c>
      <c r="D26" s="79"/>
      <c r="E26" s="80" t="n">
        <f aca="false">E25</f>
        <v>4</v>
      </c>
      <c r="F26" s="80" t="n">
        <f aca="false">F25</f>
        <v>4</v>
      </c>
      <c r="G26" s="83" t="n">
        <v>0</v>
      </c>
      <c r="H26" s="84" t="n">
        <v>0</v>
      </c>
      <c r="I26" s="77" t="n">
        <v>0</v>
      </c>
      <c r="J26" s="77" t="n">
        <v>14</v>
      </c>
      <c r="K26" s="77" t="n">
        <v>14</v>
      </c>
      <c r="L26" s="77" t="n">
        <v>14</v>
      </c>
      <c r="N26" s="82" t="n">
        <f aca="false">((C26*G26*J26)/$D$3)+M26</f>
        <v>0</v>
      </c>
      <c r="O26" s="82" t="n">
        <f aca="false">((E26*H26*K26)/$D$3)</f>
        <v>0</v>
      </c>
      <c r="P26" s="82" t="n">
        <f aca="false">((F26*I26*L26)/$D$3)</f>
        <v>0</v>
      </c>
      <c r="Q26" s="82" t="n">
        <f aca="false">SUM(N26:P26)</f>
        <v>0</v>
      </c>
    </row>
    <row r="27" customFormat="false" ht="12.75" hidden="false" customHeight="true" outlineLevel="0" collapsed="false">
      <c r="A27" s="77" t="n">
        <v>12</v>
      </c>
      <c r="B27" s="79" t="s">
        <v>116</v>
      </c>
      <c r="C27" s="79" t="n">
        <f aca="false">C25</f>
        <v>22</v>
      </c>
      <c r="D27" s="79"/>
      <c r="E27" s="80" t="n">
        <f aca="false">E26</f>
        <v>4</v>
      </c>
      <c r="F27" s="80" t="n">
        <f aca="false">F26</f>
        <v>4</v>
      </c>
      <c r="G27" s="83" t="n">
        <v>2</v>
      </c>
      <c r="H27" s="84" t="n">
        <v>2</v>
      </c>
      <c r="I27" s="77" t="n">
        <v>0</v>
      </c>
      <c r="J27" s="77" t="n">
        <v>14.5</v>
      </c>
      <c r="K27" s="77" t="n">
        <v>14.5</v>
      </c>
      <c r="L27" s="77" t="n">
        <v>14.5</v>
      </c>
      <c r="N27" s="82" t="n">
        <f aca="false">((C27*G27*J27)/$D$3)+M27</f>
        <v>638</v>
      </c>
      <c r="O27" s="82" t="n">
        <f aca="false">((E27*H27*K27)/$D$3)</f>
        <v>116</v>
      </c>
      <c r="P27" s="82" t="n">
        <f aca="false">((F27*I27*L27)/$D$3)</f>
        <v>0</v>
      </c>
      <c r="Q27" s="82" t="n">
        <f aca="false">SUM(N27:P27)</f>
        <v>754</v>
      </c>
    </row>
    <row r="28" customFormat="false" ht="12.75" hidden="false" customHeight="true" outlineLevel="0" collapsed="false">
      <c r="A28" s="77" t="n">
        <v>13</v>
      </c>
      <c r="B28" s="79" t="s">
        <v>117</v>
      </c>
      <c r="C28" s="79" t="n">
        <f aca="false">C26</f>
        <v>22</v>
      </c>
      <c r="D28" s="79"/>
      <c r="E28" s="80" t="n">
        <f aca="false">E27</f>
        <v>4</v>
      </c>
      <c r="F28" s="80" t="n">
        <f aca="false">F27</f>
        <v>4</v>
      </c>
      <c r="G28" s="83" t="n">
        <v>2</v>
      </c>
      <c r="H28" s="84" t="n">
        <v>1</v>
      </c>
      <c r="I28" s="77" t="n">
        <v>0</v>
      </c>
      <c r="J28" s="77" t="n">
        <v>9.6</v>
      </c>
      <c r="K28" s="77" t="n">
        <v>9.6</v>
      </c>
      <c r="L28" s="77" t="n">
        <v>9.6</v>
      </c>
      <c r="N28" s="82" t="n">
        <f aca="false">((C28*G28*J28)/$D$3)+M28</f>
        <v>422.4</v>
      </c>
      <c r="O28" s="82" t="n">
        <f aca="false">((E28*H28*K28)/$D$3)</f>
        <v>38.4</v>
      </c>
      <c r="P28" s="82" t="n">
        <f aca="false">((F28*I28*L28)/$D$3)</f>
        <v>0</v>
      </c>
      <c r="Q28" s="82" t="n">
        <f aca="false">SUM(N28:P28)</f>
        <v>460.8</v>
      </c>
    </row>
    <row r="29" customFormat="false" ht="12.75" hidden="false" customHeight="true" outlineLevel="0" collapsed="false">
      <c r="A29" s="77" t="n">
        <v>14</v>
      </c>
      <c r="B29" s="79" t="s">
        <v>118</v>
      </c>
      <c r="C29" s="79" t="n">
        <f aca="false">C27</f>
        <v>22</v>
      </c>
      <c r="D29" s="79"/>
      <c r="E29" s="80" t="n">
        <f aca="false">E28</f>
        <v>4</v>
      </c>
      <c r="F29" s="80" t="n">
        <f aca="false">F28</f>
        <v>4</v>
      </c>
      <c r="G29" s="83" t="n">
        <v>4</v>
      </c>
      <c r="H29" s="84" t="n">
        <v>2</v>
      </c>
      <c r="I29" s="77" t="n">
        <v>0</v>
      </c>
      <c r="J29" s="77" t="n">
        <v>14</v>
      </c>
      <c r="K29" s="77" t="n">
        <v>14</v>
      </c>
      <c r="L29" s="77" t="n">
        <v>14</v>
      </c>
      <c r="N29" s="82" t="n">
        <f aca="false">((C29*G29*J29)/$D$3)+M29</f>
        <v>1232</v>
      </c>
      <c r="O29" s="82" t="n">
        <f aca="false">((E29*H29*K29)/$D$3)</f>
        <v>112</v>
      </c>
      <c r="P29" s="82" t="n">
        <f aca="false">((F29*I29*L29)/$D$3)</f>
        <v>0</v>
      </c>
      <c r="Q29" s="82" t="n">
        <f aca="false">SUM(N29:P29)</f>
        <v>1344</v>
      </c>
    </row>
    <row r="30" customFormat="false" ht="12.75" hidden="true" customHeight="true" outlineLevel="0" collapsed="false">
      <c r="A30" s="77" t="n">
        <v>19</v>
      </c>
      <c r="B30" s="77"/>
      <c r="C30" s="79" t="n">
        <f aca="false">C28</f>
        <v>22</v>
      </c>
      <c r="D30" s="79"/>
      <c r="E30" s="80" t="n">
        <f aca="false">E29</f>
        <v>4</v>
      </c>
      <c r="F30" s="80" t="n">
        <f aca="false">F29</f>
        <v>4</v>
      </c>
      <c r="G30" s="85"/>
      <c r="H30" s="77"/>
      <c r="I30" s="77"/>
      <c r="J30" s="77"/>
      <c r="K30" s="77"/>
      <c r="L30" s="77"/>
      <c r="N30" s="82" t="n">
        <f aca="false">((C30*G30*J30)/$D$3)+M30</f>
        <v>0</v>
      </c>
      <c r="O30" s="82" t="n">
        <f aca="false">((E30*H30*K30)/$D$3)</f>
        <v>0</v>
      </c>
      <c r="P30" s="82" t="n">
        <f aca="false">((F30*I30*L30)/$D$3)</f>
        <v>0</v>
      </c>
      <c r="Q30" s="82" t="n">
        <f aca="false">SUM(N30:P30)</f>
        <v>0</v>
      </c>
    </row>
    <row r="31" customFormat="false" ht="12.75" hidden="true" customHeight="true" outlineLevel="0" collapsed="false">
      <c r="A31" s="77" t="n">
        <v>20</v>
      </c>
      <c r="B31" s="77"/>
      <c r="C31" s="79" t="n">
        <f aca="false">C29</f>
        <v>22</v>
      </c>
      <c r="D31" s="79"/>
      <c r="E31" s="80" t="n">
        <f aca="false">E30</f>
        <v>4</v>
      </c>
      <c r="F31" s="80" t="n">
        <f aca="false">F30</f>
        <v>4</v>
      </c>
      <c r="G31" s="85"/>
      <c r="H31" s="77"/>
      <c r="I31" s="77"/>
      <c r="J31" s="77"/>
      <c r="K31" s="77"/>
      <c r="L31" s="77"/>
      <c r="N31" s="82" t="n">
        <f aca="false">((C31*G31*J31)/$D$3)+M31</f>
        <v>0</v>
      </c>
      <c r="O31" s="82" t="n">
        <f aca="false">((E31*H31*K31)/$D$3)</f>
        <v>0</v>
      </c>
      <c r="P31" s="82" t="n">
        <f aca="false">((F31*I31*L31)/$D$3)</f>
        <v>0</v>
      </c>
      <c r="Q31" s="82" t="n">
        <f aca="false">SUM(N31:P31)</f>
        <v>0</v>
      </c>
    </row>
    <row r="32" customFormat="false" ht="12.75" hidden="true" customHeight="true" outlineLevel="0" collapsed="false">
      <c r="A32" s="77" t="n">
        <v>21</v>
      </c>
      <c r="B32" s="77"/>
      <c r="C32" s="79" t="n">
        <f aca="false">C30</f>
        <v>22</v>
      </c>
      <c r="D32" s="79"/>
      <c r="E32" s="80" t="n">
        <f aca="false">E31</f>
        <v>4</v>
      </c>
      <c r="F32" s="80" t="n">
        <f aca="false">F31</f>
        <v>4</v>
      </c>
      <c r="G32" s="85"/>
      <c r="H32" s="77"/>
      <c r="I32" s="77"/>
      <c r="J32" s="77"/>
      <c r="K32" s="77"/>
      <c r="L32" s="77"/>
      <c r="N32" s="82" t="n">
        <f aca="false">((C32*G32*J32)/$D$3)+M32</f>
        <v>0</v>
      </c>
      <c r="O32" s="82" t="n">
        <f aca="false">((E32*H32*K32)/$D$3)</f>
        <v>0</v>
      </c>
      <c r="P32" s="82" t="n">
        <f aca="false">((F32*I32*L32)/$D$3)</f>
        <v>0</v>
      </c>
      <c r="Q32" s="82" t="n">
        <f aca="false">SUM(N32:P32)</f>
        <v>0</v>
      </c>
    </row>
    <row r="33" customFormat="false" ht="12.75" hidden="true" customHeight="true" outlineLevel="0" collapsed="false">
      <c r="A33" s="77" t="n">
        <v>22</v>
      </c>
      <c r="B33" s="77"/>
      <c r="C33" s="79" t="n">
        <f aca="false">C31</f>
        <v>22</v>
      </c>
      <c r="D33" s="79"/>
      <c r="E33" s="80" t="n">
        <f aca="false">E32</f>
        <v>4</v>
      </c>
      <c r="F33" s="80" t="n">
        <f aca="false">F32</f>
        <v>4</v>
      </c>
      <c r="G33" s="85"/>
      <c r="H33" s="77"/>
      <c r="I33" s="77"/>
      <c r="J33" s="77"/>
      <c r="K33" s="77"/>
      <c r="L33" s="77"/>
      <c r="N33" s="82" t="n">
        <f aca="false">((C33*G33*J33)/$D$3)+M33</f>
        <v>0</v>
      </c>
      <c r="O33" s="82" t="n">
        <f aca="false">((E33*H33*K33)/$D$3)</f>
        <v>0</v>
      </c>
      <c r="P33" s="82" t="n">
        <f aca="false">((F33*I33*L33)/$D$3)</f>
        <v>0</v>
      </c>
      <c r="Q33" s="82" t="n">
        <f aca="false">SUM(N33:P33)</f>
        <v>0</v>
      </c>
    </row>
    <row r="34" customFormat="false" ht="12.75" hidden="true" customHeight="true" outlineLevel="0" collapsed="false">
      <c r="A34" s="77" t="n">
        <v>23</v>
      </c>
      <c r="B34" s="77"/>
      <c r="C34" s="79" t="n">
        <f aca="false">C32</f>
        <v>22</v>
      </c>
      <c r="D34" s="79"/>
      <c r="E34" s="80" t="n">
        <f aca="false">E33</f>
        <v>4</v>
      </c>
      <c r="F34" s="80" t="n">
        <f aca="false">F33</f>
        <v>4</v>
      </c>
      <c r="G34" s="85"/>
      <c r="H34" s="77"/>
      <c r="I34" s="77"/>
      <c r="J34" s="77"/>
      <c r="K34" s="77"/>
      <c r="L34" s="77"/>
      <c r="N34" s="82" t="n">
        <f aca="false">((C34*G34*J34)/$D$3)+M34</f>
        <v>0</v>
      </c>
      <c r="O34" s="82" t="n">
        <f aca="false">((E34*H34*K34)/$D$3)</f>
        <v>0</v>
      </c>
      <c r="P34" s="82" t="n">
        <f aca="false">((F34*I34*L34)/$D$3)</f>
        <v>0</v>
      </c>
      <c r="Q34" s="82" t="n">
        <f aca="false">SUM(N34:P34)</f>
        <v>0</v>
      </c>
    </row>
    <row r="35" customFormat="false" ht="12.75" hidden="true" customHeight="true" outlineLevel="0" collapsed="false">
      <c r="A35" s="77" t="n">
        <v>24</v>
      </c>
      <c r="B35" s="77"/>
      <c r="C35" s="79" t="n">
        <f aca="false">C33</f>
        <v>22</v>
      </c>
      <c r="D35" s="79"/>
      <c r="E35" s="80" t="n">
        <f aca="false">E34</f>
        <v>4</v>
      </c>
      <c r="F35" s="80" t="n">
        <f aca="false">F34</f>
        <v>4</v>
      </c>
      <c r="G35" s="85"/>
      <c r="H35" s="77"/>
      <c r="I35" s="77"/>
      <c r="J35" s="77"/>
      <c r="K35" s="77"/>
      <c r="L35" s="77"/>
      <c r="N35" s="82" t="n">
        <f aca="false">((C35*G35*J35)/$D$3)+M35</f>
        <v>0</v>
      </c>
      <c r="O35" s="82" t="n">
        <f aca="false">((E35*H35*K35)/$D$3)</f>
        <v>0</v>
      </c>
      <c r="P35" s="82" t="n">
        <f aca="false">((F35*I35*L35)/$D$3)</f>
        <v>0</v>
      </c>
      <c r="Q35" s="82" t="n">
        <f aca="false">SUM(N35:P35)</f>
        <v>0</v>
      </c>
    </row>
    <row r="36" customFormat="false" ht="12.75" hidden="true" customHeight="true" outlineLevel="0" collapsed="false">
      <c r="A36" s="77" t="n">
        <v>25</v>
      </c>
      <c r="B36" s="77"/>
      <c r="C36" s="79" t="n">
        <f aca="false">C34</f>
        <v>22</v>
      </c>
      <c r="D36" s="79"/>
      <c r="E36" s="80" t="n">
        <f aca="false">E35</f>
        <v>4</v>
      </c>
      <c r="F36" s="80" t="n">
        <f aca="false">F35</f>
        <v>4</v>
      </c>
      <c r="G36" s="85"/>
      <c r="H36" s="77"/>
      <c r="I36" s="77"/>
      <c r="J36" s="77"/>
      <c r="K36" s="77"/>
      <c r="L36" s="77"/>
      <c r="N36" s="82" t="n">
        <f aca="false">((C36*G36*J36)/$D$3)+M36</f>
        <v>0</v>
      </c>
      <c r="O36" s="82" t="n">
        <f aca="false">((E36*H36*K36)/$D$3)</f>
        <v>0</v>
      </c>
      <c r="P36" s="82" t="n">
        <f aca="false">((F36*I36*L36)/$D$3)</f>
        <v>0</v>
      </c>
      <c r="Q36" s="82" t="n">
        <f aca="false">SUM(N36:P36)</f>
        <v>0</v>
      </c>
    </row>
    <row r="37" customFormat="false" ht="12.75" hidden="true" customHeight="true" outlineLevel="0" collapsed="false">
      <c r="A37" s="77" t="n">
        <v>26</v>
      </c>
      <c r="B37" s="77"/>
      <c r="C37" s="79" t="n">
        <f aca="false">C35</f>
        <v>22</v>
      </c>
      <c r="D37" s="79"/>
      <c r="E37" s="80" t="n">
        <f aca="false">E36</f>
        <v>4</v>
      </c>
      <c r="F37" s="80" t="n">
        <f aca="false">F36</f>
        <v>4</v>
      </c>
      <c r="G37" s="85"/>
      <c r="H37" s="77"/>
      <c r="I37" s="77"/>
      <c r="J37" s="77"/>
      <c r="K37" s="77"/>
      <c r="L37" s="77"/>
      <c r="N37" s="82" t="n">
        <f aca="false">((C37*G37*J37)/$D$3)+M37</f>
        <v>0</v>
      </c>
      <c r="O37" s="82" t="n">
        <f aca="false">((E37*H37*K37)/$D$3)</f>
        <v>0</v>
      </c>
      <c r="P37" s="82" t="n">
        <f aca="false">((F37*I37*L37)/$D$3)</f>
        <v>0</v>
      </c>
      <c r="Q37" s="82" t="n">
        <f aca="false">SUM(N37:P37)</f>
        <v>0</v>
      </c>
    </row>
    <row r="38" customFormat="false" ht="12.75" hidden="true" customHeight="true" outlineLevel="0" collapsed="false">
      <c r="A38" s="77" t="n">
        <v>27</v>
      </c>
      <c r="B38" s="77"/>
      <c r="C38" s="79" t="n">
        <f aca="false">C36</f>
        <v>22</v>
      </c>
      <c r="D38" s="79"/>
      <c r="E38" s="80" t="n">
        <f aca="false">E37</f>
        <v>4</v>
      </c>
      <c r="F38" s="80" t="n">
        <f aca="false">F37</f>
        <v>4</v>
      </c>
      <c r="G38" s="85"/>
      <c r="H38" s="77"/>
      <c r="I38" s="77"/>
      <c r="J38" s="77"/>
      <c r="K38" s="77"/>
      <c r="L38" s="77"/>
      <c r="N38" s="82" t="n">
        <f aca="false">((C38*G38*J38)/$D$3)+M38</f>
        <v>0</v>
      </c>
      <c r="O38" s="82" t="n">
        <f aca="false">((E38*H38*K38)/$D$3)</f>
        <v>0</v>
      </c>
      <c r="P38" s="82" t="n">
        <f aca="false">((F38*I38*L38)/$D$3)</f>
        <v>0</v>
      </c>
      <c r="Q38" s="82" t="n">
        <f aca="false">SUM(N38:P38)</f>
        <v>0</v>
      </c>
    </row>
    <row r="39" customFormat="false" ht="12.75" hidden="true" customHeight="true" outlineLevel="0" collapsed="false">
      <c r="A39" s="77" t="n">
        <v>28</v>
      </c>
      <c r="B39" s="77"/>
      <c r="C39" s="79" t="n">
        <f aca="false">C37</f>
        <v>22</v>
      </c>
      <c r="D39" s="79"/>
      <c r="E39" s="80" t="n">
        <f aca="false">E38</f>
        <v>4</v>
      </c>
      <c r="F39" s="80" t="n">
        <f aca="false">F38</f>
        <v>4</v>
      </c>
      <c r="G39" s="85"/>
      <c r="H39" s="77"/>
      <c r="I39" s="77"/>
      <c r="J39" s="77"/>
      <c r="K39" s="77"/>
      <c r="L39" s="77"/>
      <c r="N39" s="82" t="n">
        <f aca="false">((C39*G39*J39)/$D$3)+M39</f>
        <v>0</v>
      </c>
      <c r="O39" s="82" t="n">
        <f aca="false">((E39*H39*K39)/$D$3)</f>
        <v>0</v>
      </c>
      <c r="P39" s="82" t="n">
        <f aca="false">((F39*I39*L39)/$D$3)</f>
        <v>0</v>
      </c>
      <c r="Q39" s="82" t="n">
        <f aca="false">SUM(N39:P39)</f>
        <v>0</v>
      </c>
    </row>
    <row r="40" customFormat="false" ht="12.75" hidden="true" customHeight="true" outlineLevel="0" collapsed="false">
      <c r="A40" s="77" t="n">
        <v>29</v>
      </c>
      <c r="B40" s="77"/>
      <c r="C40" s="79" t="n">
        <f aca="false">C38</f>
        <v>22</v>
      </c>
      <c r="D40" s="79"/>
      <c r="E40" s="80" t="n">
        <f aca="false">E39</f>
        <v>4</v>
      </c>
      <c r="F40" s="80" t="n">
        <f aca="false">F39</f>
        <v>4</v>
      </c>
      <c r="G40" s="85"/>
      <c r="H40" s="77"/>
      <c r="I40" s="77"/>
      <c r="J40" s="77"/>
      <c r="K40" s="77"/>
      <c r="L40" s="77"/>
      <c r="N40" s="82" t="n">
        <f aca="false">((C40*G40*J40)/$D$3)+M40</f>
        <v>0</v>
      </c>
      <c r="O40" s="82" t="n">
        <f aca="false">((E40*H40*K40)/$D$3)</f>
        <v>0</v>
      </c>
      <c r="P40" s="82" t="n">
        <f aca="false">((F40*I40*L40)/$D$3)</f>
        <v>0</v>
      </c>
      <c r="Q40" s="82" t="n">
        <f aca="false">SUM(N40:P40)</f>
        <v>0</v>
      </c>
    </row>
    <row r="41" customFormat="false" ht="12.75" hidden="true" customHeight="true" outlineLevel="0" collapsed="false">
      <c r="A41" s="77" t="n">
        <v>30</v>
      </c>
      <c r="B41" s="77"/>
      <c r="C41" s="79" t="n">
        <f aca="false">C39</f>
        <v>22</v>
      </c>
      <c r="D41" s="79"/>
      <c r="E41" s="80" t="n">
        <f aca="false">E40</f>
        <v>4</v>
      </c>
      <c r="F41" s="80" t="n">
        <f aca="false">F40</f>
        <v>4</v>
      </c>
      <c r="G41" s="85"/>
      <c r="H41" s="77"/>
      <c r="I41" s="77"/>
      <c r="J41" s="77"/>
      <c r="K41" s="77"/>
      <c r="L41" s="77"/>
      <c r="N41" s="82" t="n">
        <f aca="false">((C41*G41*J41)/$D$3)+M41</f>
        <v>0</v>
      </c>
      <c r="O41" s="82" t="n">
        <f aca="false">((E41*H41*K41)/$D$3)</f>
        <v>0</v>
      </c>
      <c r="P41" s="82" t="n">
        <f aca="false">((F41*I41*L41)/$D$3)</f>
        <v>0</v>
      </c>
      <c r="Q41" s="82" t="n">
        <f aca="false">SUM(N41:P41)</f>
        <v>0</v>
      </c>
    </row>
    <row r="42" customFormat="false" ht="12.75" hidden="true" customHeight="true" outlineLevel="0" collapsed="false">
      <c r="A42" s="77" t="n">
        <v>31</v>
      </c>
      <c r="B42" s="77"/>
      <c r="C42" s="79" t="n">
        <f aca="false">C40</f>
        <v>22</v>
      </c>
      <c r="D42" s="79"/>
      <c r="E42" s="80" t="n">
        <f aca="false">E41</f>
        <v>4</v>
      </c>
      <c r="F42" s="80" t="n">
        <f aca="false">F41</f>
        <v>4</v>
      </c>
      <c r="G42" s="85"/>
      <c r="H42" s="77"/>
      <c r="I42" s="77"/>
      <c r="J42" s="77"/>
      <c r="K42" s="77"/>
      <c r="L42" s="77"/>
      <c r="N42" s="82" t="n">
        <f aca="false">((C42*G42*J42)/$D$3)+M42</f>
        <v>0</v>
      </c>
      <c r="O42" s="82" t="n">
        <f aca="false">((E42*H42*K42)/$D$3)</f>
        <v>0</v>
      </c>
      <c r="P42" s="82" t="n">
        <f aca="false">((F42*I42*L42)/$D$3)</f>
        <v>0</v>
      </c>
      <c r="Q42" s="82" t="n">
        <f aca="false">SUM(N42:P42)</f>
        <v>0</v>
      </c>
    </row>
    <row r="43" customFormat="false" ht="12.75" hidden="true" customHeight="true" outlineLevel="0" collapsed="false">
      <c r="A43" s="77" t="n">
        <v>32</v>
      </c>
      <c r="B43" s="77"/>
      <c r="C43" s="79" t="n">
        <f aca="false">C41</f>
        <v>22</v>
      </c>
      <c r="D43" s="79"/>
      <c r="E43" s="80" t="n">
        <f aca="false">E42</f>
        <v>4</v>
      </c>
      <c r="F43" s="80" t="n">
        <f aca="false">F42</f>
        <v>4</v>
      </c>
      <c r="G43" s="85"/>
      <c r="H43" s="77"/>
      <c r="I43" s="77"/>
      <c r="J43" s="77"/>
      <c r="K43" s="77"/>
      <c r="L43" s="77"/>
      <c r="N43" s="82" t="n">
        <f aca="false">((C43*G43*J43)/$D$3)+M43</f>
        <v>0</v>
      </c>
      <c r="O43" s="82" t="n">
        <f aca="false">((E43*H43*K43)/$D$3)</f>
        <v>0</v>
      </c>
      <c r="P43" s="82" t="n">
        <f aca="false">((F43*I43*L43)/$D$3)</f>
        <v>0</v>
      </c>
      <c r="Q43" s="82" t="n">
        <f aca="false">SUM(N43:P43)</f>
        <v>0</v>
      </c>
    </row>
    <row r="44" customFormat="false" ht="12.75" hidden="true" customHeight="true" outlineLevel="0" collapsed="false">
      <c r="A44" s="77" t="n">
        <v>33</v>
      </c>
      <c r="B44" s="77"/>
      <c r="C44" s="79" t="n">
        <f aca="false">C42</f>
        <v>22</v>
      </c>
      <c r="D44" s="79"/>
      <c r="E44" s="80" t="n">
        <f aca="false">E43</f>
        <v>4</v>
      </c>
      <c r="F44" s="80" t="n">
        <f aca="false">F43</f>
        <v>4</v>
      </c>
      <c r="G44" s="85"/>
      <c r="H44" s="77"/>
      <c r="I44" s="77"/>
      <c r="J44" s="77"/>
      <c r="K44" s="77"/>
      <c r="L44" s="77"/>
      <c r="N44" s="82" t="n">
        <f aca="false">((C44*G44*J44)/$D$3)+M44</f>
        <v>0</v>
      </c>
      <c r="O44" s="82" t="n">
        <f aca="false">((E44*H44*K44)/$D$3)</f>
        <v>0</v>
      </c>
      <c r="P44" s="82" t="n">
        <f aca="false">((F44*I44*L44)/$D$3)</f>
        <v>0</v>
      </c>
      <c r="Q44" s="82" t="n">
        <f aca="false">SUM(N44:P44)</f>
        <v>0</v>
      </c>
    </row>
    <row r="45" customFormat="false" ht="12.75" hidden="true" customHeight="true" outlineLevel="0" collapsed="false">
      <c r="A45" s="77" t="n">
        <v>34</v>
      </c>
      <c r="B45" s="77"/>
      <c r="C45" s="79" t="n">
        <f aca="false">C43</f>
        <v>22</v>
      </c>
      <c r="D45" s="79"/>
      <c r="E45" s="80" t="n">
        <f aca="false">E44</f>
        <v>4</v>
      </c>
      <c r="F45" s="80" t="n">
        <f aca="false">F44</f>
        <v>4</v>
      </c>
      <c r="G45" s="85"/>
      <c r="H45" s="77"/>
      <c r="I45" s="77"/>
      <c r="J45" s="77"/>
      <c r="K45" s="77"/>
      <c r="L45" s="77"/>
      <c r="N45" s="82" t="n">
        <f aca="false">((C45*G45*J45)/$D$3)+M45</f>
        <v>0</v>
      </c>
      <c r="O45" s="82" t="n">
        <f aca="false">((E45*H45*K45)/$D$3)</f>
        <v>0</v>
      </c>
      <c r="P45" s="82" t="n">
        <f aca="false">((F45*I45*L45)/$D$3)</f>
        <v>0</v>
      </c>
      <c r="Q45" s="82" t="n">
        <f aca="false">SUM(N45:P45)</f>
        <v>0</v>
      </c>
    </row>
    <row r="46" customFormat="false" ht="12.75" hidden="true" customHeight="true" outlineLevel="0" collapsed="false">
      <c r="A46" s="77" t="n">
        <v>35</v>
      </c>
      <c r="B46" s="77"/>
      <c r="C46" s="79" t="n">
        <f aca="false">C44</f>
        <v>22</v>
      </c>
      <c r="D46" s="79"/>
      <c r="E46" s="80" t="n">
        <f aca="false">E45</f>
        <v>4</v>
      </c>
      <c r="F46" s="80" t="n">
        <f aca="false">F45</f>
        <v>4</v>
      </c>
      <c r="G46" s="85"/>
      <c r="H46" s="77"/>
      <c r="I46" s="77"/>
      <c r="J46" s="77"/>
      <c r="K46" s="77"/>
      <c r="L46" s="77"/>
      <c r="N46" s="82" t="n">
        <f aca="false">((C46*G46*J46)/$D$3)+M46</f>
        <v>0</v>
      </c>
      <c r="O46" s="82" t="n">
        <f aca="false">((E46*H46*K46)/$D$3)</f>
        <v>0</v>
      </c>
      <c r="P46" s="82" t="n">
        <f aca="false">((F46*I46*L46)/$D$3)</f>
        <v>0</v>
      </c>
      <c r="Q46" s="82" t="n">
        <f aca="false">SUM(N46:P46)</f>
        <v>0</v>
      </c>
    </row>
    <row r="47" customFormat="false" ht="12.75" hidden="true" customHeight="true" outlineLevel="0" collapsed="false">
      <c r="A47" s="77" t="n">
        <v>36</v>
      </c>
      <c r="B47" s="77"/>
      <c r="C47" s="79" t="n">
        <f aca="false">C45</f>
        <v>22</v>
      </c>
      <c r="D47" s="79"/>
      <c r="E47" s="80" t="n">
        <f aca="false">E46</f>
        <v>4</v>
      </c>
      <c r="F47" s="80" t="n">
        <f aca="false">F46</f>
        <v>4</v>
      </c>
      <c r="G47" s="85"/>
      <c r="H47" s="77"/>
      <c r="I47" s="77"/>
      <c r="J47" s="77"/>
      <c r="K47" s="77"/>
      <c r="L47" s="77"/>
      <c r="N47" s="82" t="n">
        <f aca="false">((C47*G47*J47)/$D$3)+M47</f>
        <v>0</v>
      </c>
      <c r="O47" s="82" t="n">
        <f aca="false">((E47*H47*K47)/$D$3)</f>
        <v>0</v>
      </c>
      <c r="P47" s="82" t="n">
        <f aca="false">((F47*I47*L47)/$D$3)</f>
        <v>0</v>
      </c>
      <c r="Q47" s="82" t="n">
        <f aca="false">SUM(N47:P47)</f>
        <v>0</v>
      </c>
    </row>
    <row r="48" customFormat="false" ht="12.75" hidden="true" customHeight="true" outlineLevel="0" collapsed="false">
      <c r="A48" s="77" t="n">
        <v>37</v>
      </c>
      <c r="B48" s="77"/>
      <c r="C48" s="79" t="n">
        <f aca="false">C46</f>
        <v>22</v>
      </c>
      <c r="D48" s="79"/>
      <c r="E48" s="80" t="n">
        <f aca="false">E47</f>
        <v>4</v>
      </c>
      <c r="F48" s="80" t="n">
        <f aca="false">F47</f>
        <v>4</v>
      </c>
      <c r="G48" s="85"/>
      <c r="H48" s="77"/>
      <c r="I48" s="77"/>
      <c r="J48" s="77"/>
      <c r="K48" s="77"/>
      <c r="L48" s="77"/>
      <c r="N48" s="82" t="n">
        <f aca="false">((C48*G48*J48)/$D$3)+M48</f>
        <v>0</v>
      </c>
      <c r="O48" s="82" t="n">
        <f aca="false">((E48*H48*K48)/$D$3)</f>
        <v>0</v>
      </c>
      <c r="P48" s="82" t="n">
        <f aca="false">((F48*I48*L48)/$D$3)</f>
        <v>0</v>
      </c>
      <c r="Q48" s="82" t="n">
        <f aca="false">SUM(N48:P48)</f>
        <v>0</v>
      </c>
    </row>
    <row r="49" customFormat="false" ht="12.75" hidden="true" customHeight="true" outlineLevel="0" collapsed="false">
      <c r="A49" s="77" t="n">
        <v>38</v>
      </c>
      <c r="B49" s="77"/>
      <c r="C49" s="79" t="n">
        <f aca="false">C47</f>
        <v>22</v>
      </c>
      <c r="D49" s="79"/>
      <c r="E49" s="80" t="n">
        <f aca="false">E48</f>
        <v>4</v>
      </c>
      <c r="F49" s="80" t="n">
        <f aca="false">F48</f>
        <v>4</v>
      </c>
      <c r="G49" s="85"/>
      <c r="H49" s="77"/>
      <c r="I49" s="77"/>
      <c r="J49" s="77"/>
      <c r="K49" s="77"/>
      <c r="L49" s="77"/>
      <c r="N49" s="82" t="n">
        <f aca="false">((C49*G49*J49)/$D$3)+M49</f>
        <v>0</v>
      </c>
      <c r="O49" s="82" t="n">
        <f aca="false">((E49*H49*K49)/$D$3)</f>
        <v>0</v>
      </c>
      <c r="P49" s="82" t="n">
        <f aca="false">((F49*I49*L49)/$D$3)</f>
        <v>0</v>
      </c>
      <c r="Q49" s="82" t="n">
        <f aca="false">SUM(N49:P49)</f>
        <v>0</v>
      </c>
    </row>
    <row r="50" customFormat="false" ht="12.75" hidden="true" customHeight="true" outlineLevel="0" collapsed="false">
      <c r="A50" s="77" t="n">
        <v>39</v>
      </c>
      <c r="B50" s="77"/>
      <c r="C50" s="79" t="n">
        <f aca="false">C48</f>
        <v>22</v>
      </c>
      <c r="D50" s="79"/>
      <c r="E50" s="80" t="n">
        <f aca="false">E49</f>
        <v>4</v>
      </c>
      <c r="F50" s="80" t="n">
        <f aca="false">F49</f>
        <v>4</v>
      </c>
      <c r="G50" s="85"/>
      <c r="H50" s="77"/>
      <c r="I50" s="77"/>
      <c r="J50" s="77"/>
      <c r="K50" s="77"/>
      <c r="L50" s="77"/>
      <c r="N50" s="82" t="n">
        <f aca="false">((C50*G50*J50)/$D$3)+M50</f>
        <v>0</v>
      </c>
      <c r="O50" s="82" t="n">
        <f aca="false">((E50*H50*K50)/$D$3)</f>
        <v>0</v>
      </c>
      <c r="P50" s="82" t="n">
        <f aca="false">((F50*I50*L50)/$D$3)</f>
        <v>0</v>
      </c>
      <c r="Q50" s="82" t="n">
        <f aca="false">SUM(N50:P50)</f>
        <v>0</v>
      </c>
    </row>
    <row r="51" customFormat="false" ht="12.75" hidden="true" customHeight="true" outlineLevel="0" collapsed="false">
      <c r="A51" s="77" t="n">
        <v>40</v>
      </c>
      <c r="B51" s="77"/>
      <c r="C51" s="79" t="n">
        <f aca="false">C49</f>
        <v>22</v>
      </c>
      <c r="D51" s="79"/>
      <c r="E51" s="80" t="n">
        <f aca="false">E50</f>
        <v>4</v>
      </c>
      <c r="F51" s="80" t="n">
        <f aca="false">F50</f>
        <v>4</v>
      </c>
      <c r="G51" s="85"/>
      <c r="H51" s="77"/>
      <c r="I51" s="77"/>
      <c r="J51" s="77"/>
      <c r="K51" s="77"/>
      <c r="L51" s="77"/>
      <c r="N51" s="82" t="n">
        <f aca="false">((C51*G51*J51)/$D$3)+M51</f>
        <v>0</v>
      </c>
      <c r="O51" s="82" t="n">
        <f aca="false">((E51*H51*K51)/$D$3)</f>
        <v>0</v>
      </c>
      <c r="P51" s="82" t="n">
        <f aca="false">((F51*I51*L51)/$D$3)</f>
        <v>0</v>
      </c>
      <c r="Q51" s="82" t="n">
        <f aca="false">SUM(N51:P51)</f>
        <v>0</v>
      </c>
    </row>
    <row r="52" customFormat="false" ht="12.75" hidden="true" customHeight="true" outlineLevel="0" collapsed="false">
      <c r="A52" s="77" t="n">
        <v>41</v>
      </c>
      <c r="B52" s="77"/>
      <c r="C52" s="79" t="n">
        <f aca="false">C50</f>
        <v>22</v>
      </c>
      <c r="D52" s="79"/>
      <c r="E52" s="80" t="n">
        <f aca="false">E51</f>
        <v>4</v>
      </c>
      <c r="F52" s="80" t="n">
        <f aca="false">F51</f>
        <v>4</v>
      </c>
      <c r="G52" s="85"/>
      <c r="H52" s="77"/>
      <c r="I52" s="77"/>
      <c r="J52" s="77"/>
      <c r="K52" s="77"/>
      <c r="L52" s="77"/>
      <c r="N52" s="82" t="n">
        <f aca="false">((C52*G52*J52)/$D$3)+M52</f>
        <v>0</v>
      </c>
      <c r="O52" s="82" t="n">
        <f aca="false">((E52*H52*K52)/$D$3)</f>
        <v>0</v>
      </c>
      <c r="P52" s="82" t="n">
        <f aca="false">((F52*I52*L52)/$D$3)</f>
        <v>0</v>
      </c>
      <c r="Q52" s="82" t="n">
        <f aca="false">SUM(N52:P52)</f>
        <v>0</v>
      </c>
    </row>
    <row r="53" customFormat="false" ht="12.75" hidden="true" customHeight="true" outlineLevel="0" collapsed="false">
      <c r="A53" s="77" t="n">
        <v>42</v>
      </c>
      <c r="B53" s="77"/>
      <c r="C53" s="79" t="n">
        <f aca="false">C51</f>
        <v>22</v>
      </c>
      <c r="D53" s="79"/>
      <c r="E53" s="80" t="n">
        <f aca="false">E52</f>
        <v>4</v>
      </c>
      <c r="F53" s="80" t="n">
        <f aca="false">F52</f>
        <v>4</v>
      </c>
      <c r="G53" s="85"/>
      <c r="H53" s="77"/>
      <c r="I53" s="77"/>
      <c r="J53" s="77"/>
      <c r="K53" s="77"/>
      <c r="L53" s="77"/>
      <c r="N53" s="82" t="n">
        <f aca="false">((C53*G53*J53)/$D$3)+M53</f>
        <v>0</v>
      </c>
      <c r="O53" s="82" t="n">
        <f aca="false">((E53*H53*K53)/$D$3)</f>
        <v>0</v>
      </c>
      <c r="P53" s="82" t="n">
        <f aca="false">((F53*I53*L53)/$D$3)</f>
        <v>0</v>
      </c>
      <c r="Q53" s="82" t="n">
        <f aca="false">SUM(N53:P53)</f>
        <v>0</v>
      </c>
    </row>
    <row r="54" customFormat="false" ht="12.75" hidden="true" customHeight="true" outlineLevel="0" collapsed="false">
      <c r="A54" s="77" t="n">
        <v>43</v>
      </c>
      <c r="B54" s="77"/>
      <c r="C54" s="79" t="n">
        <f aca="false">C52</f>
        <v>22</v>
      </c>
      <c r="D54" s="79"/>
      <c r="E54" s="80" t="n">
        <f aca="false">E53</f>
        <v>4</v>
      </c>
      <c r="F54" s="80" t="n">
        <f aca="false">F53</f>
        <v>4</v>
      </c>
      <c r="G54" s="85"/>
      <c r="H54" s="77"/>
      <c r="I54" s="77"/>
      <c r="J54" s="77"/>
      <c r="K54" s="77"/>
      <c r="L54" s="77"/>
      <c r="N54" s="82" t="n">
        <f aca="false">((C54*G54*J54)/$D$3)+M54</f>
        <v>0</v>
      </c>
      <c r="O54" s="82" t="n">
        <f aca="false">((E54*H54*K54)/$D$3)</f>
        <v>0</v>
      </c>
      <c r="P54" s="82" t="n">
        <f aca="false">((F54*I54*L54)/$D$3)</f>
        <v>0</v>
      </c>
      <c r="Q54" s="82" t="n">
        <f aca="false">SUM(N54:P54)</f>
        <v>0</v>
      </c>
    </row>
    <row r="55" customFormat="false" ht="12.75" hidden="true" customHeight="true" outlineLevel="0" collapsed="false">
      <c r="A55" s="77" t="n">
        <v>44</v>
      </c>
      <c r="B55" s="77"/>
      <c r="C55" s="79" t="n">
        <f aca="false">C53</f>
        <v>22</v>
      </c>
      <c r="D55" s="79"/>
      <c r="E55" s="80" t="n">
        <f aca="false">E54</f>
        <v>4</v>
      </c>
      <c r="F55" s="80" t="n">
        <f aca="false">F54</f>
        <v>4</v>
      </c>
      <c r="G55" s="85"/>
      <c r="H55" s="77"/>
      <c r="I55" s="77"/>
      <c r="J55" s="77"/>
      <c r="K55" s="77"/>
      <c r="L55" s="77"/>
      <c r="N55" s="82" t="n">
        <f aca="false">((C55*G55*J55)/$D$3)+M55</f>
        <v>0</v>
      </c>
      <c r="O55" s="82" t="n">
        <f aca="false">((E55*H55*K55)/$D$3)</f>
        <v>0</v>
      </c>
      <c r="P55" s="82" t="n">
        <f aca="false">((F55*I55*L55)/$D$3)</f>
        <v>0</v>
      </c>
      <c r="Q55" s="82" t="n">
        <f aca="false">SUM(N55:P55)</f>
        <v>0</v>
      </c>
    </row>
    <row r="56" customFormat="false" ht="12.75" hidden="true" customHeight="true" outlineLevel="0" collapsed="false">
      <c r="A56" s="77" t="n">
        <v>45</v>
      </c>
      <c r="B56" s="77"/>
      <c r="C56" s="79" t="n">
        <f aca="false">C54</f>
        <v>22</v>
      </c>
      <c r="D56" s="79"/>
      <c r="E56" s="80" t="n">
        <f aca="false">E55</f>
        <v>4</v>
      </c>
      <c r="F56" s="80" t="n">
        <f aca="false">F55</f>
        <v>4</v>
      </c>
      <c r="G56" s="85"/>
      <c r="H56" s="77"/>
      <c r="I56" s="77"/>
      <c r="J56" s="77"/>
      <c r="K56" s="77"/>
      <c r="L56" s="77"/>
      <c r="N56" s="82" t="n">
        <f aca="false">((C56*G56*J56)/$D$3)+M56</f>
        <v>0</v>
      </c>
      <c r="O56" s="82" t="n">
        <f aca="false">((E56*H56*K56)/$D$3)</f>
        <v>0</v>
      </c>
      <c r="P56" s="82" t="n">
        <f aca="false">((F56*I56*L56)/$D$3)</f>
        <v>0</v>
      </c>
      <c r="Q56" s="82" t="n">
        <f aca="false">SUM(N56:P56)</f>
        <v>0</v>
      </c>
    </row>
    <row r="57" customFormat="false" ht="12.75" hidden="true" customHeight="true" outlineLevel="0" collapsed="false">
      <c r="A57" s="77" t="n">
        <v>46</v>
      </c>
      <c r="B57" s="77"/>
      <c r="C57" s="79" t="n">
        <f aca="false">C55</f>
        <v>22</v>
      </c>
      <c r="D57" s="79"/>
      <c r="E57" s="80" t="n">
        <f aca="false">E56</f>
        <v>4</v>
      </c>
      <c r="F57" s="80" t="n">
        <f aca="false">F56</f>
        <v>4</v>
      </c>
      <c r="G57" s="85"/>
      <c r="H57" s="77"/>
      <c r="I57" s="77"/>
      <c r="J57" s="77"/>
      <c r="K57" s="77"/>
      <c r="L57" s="77"/>
      <c r="N57" s="82" t="n">
        <f aca="false">((C57*G57*J57)/$D$3)+M57</f>
        <v>0</v>
      </c>
      <c r="O57" s="82" t="n">
        <f aca="false">((E57*H57*K57)/$D$3)</f>
        <v>0</v>
      </c>
      <c r="P57" s="82" t="n">
        <f aca="false">((F57*I57*L57)/$D$3)</f>
        <v>0</v>
      </c>
      <c r="Q57" s="82" t="n">
        <f aca="false">SUM(N57:P57)</f>
        <v>0</v>
      </c>
    </row>
    <row r="58" customFormat="false" ht="12.75" hidden="true" customHeight="true" outlineLevel="0" collapsed="false">
      <c r="A58" s="77" t="n">
        <v>47</v>
      </c>
      <c r="B58" s="77"/>
      <c r="C58" s="79" t="n">
        <f aca="false">C56</f>
        <v>22</v>
      </c>
      <c r="D58" s="79"/>
      <c r="E58" s="80" t="n">
        <f aca="false">E57</f>
        <v>4</v>
      </c>
      <c r="F58" s="80" t="n">
        <f aca="false">F57</f>
        <v>4</v>
      </c>
      <c r="G58" s="85"/>
      <c r="H58" s="77"/>
      <c r="I58" s="77"/>
      <c r="J58" s="77"/>
      <c r="K58" s="77"/>
      <c r="L58" s="77"/>
      <c r="N58" s="82" t="n">
        <f aca="false">((C58*G58*J58)/$D$3)+M58</f>
        <v>0</v>
      </c>
      <c r="O58" s="82" t="n">
        <f aca="false">((E58*H58*K58)/$D$3)</f>
        <v>0</v>
      </c>
      <c r="P58" s="82" t="n">
        <f aca="false">((F58*I58*L58)/$D$3)</f>
        <v>0</v>
      </c>
      <c r="Q58" s="82" t="n">
        <f aca="false">SUM(N58:P58)</f>
        <v>0</v>
      </c>
    </row>
    <row r="59" customFormat="false" ht="12.75" hidden="true" customHeight="true" outlineLevel="0" collapsed="false">
      <c r="A59" s="77" t="n">
        <v>48</v>
      </c>
      <c r="B59" s="77"/>
      <c r="C59" s="79" t="n">
        <f aca="false">C57</f>
        <v>22</v>
      </c>
      <c r="D59" s="79"/>
      <c r="E59" s="80" t="n">
        <f aca="false">E58</f>
        <v>4</v>
      </c>
      <c r="F59" s="80" t="n">
        <f aca="false">F58</f>
        <v>4</v>
      </c>
      <c r="G59" s="85"/>
      <c r="H59" s="77"/>
      <c r="I59" s="77"/>
      <c r="J59" s="77"/>
      <c r="K59" s="77"/>
      <c r="L59" s="77"/>
      <c r="N59" s="82" t="n">
        <f aca="false">((C59*G59*J59)/$D$3)+M59</f>
        <v>0</v>
      </c>
      <c r="O59" s="82" t="n">
        <f aca="false">((E59*H59*K59)/$D$3)</f>
        <v>0</v>
      </c>
      <c r="P59" s="82" t="n">
        <f aca="false">((F59*I59*L59)/$D$3)</f>
        <v>0</v>
      </c>
      <c r="Q59" s="82" t="n">
        <f aca="false">SUM(N59:P59)</f>
        <v>0</v>
      </c>
    </row>
    <row r="60" customFormat="false" ht="12.75" hidden="true" customHeight="true" outlineLevel="0" collapsed="false">
      <c r="A60" s="77" t="n">
        <v>49</v>
      </c>
      <c r="B60" s="77"/>
      <c r="C60" s="79" t="n">
        <f aca="false">C58</f>
        <v>22</v>
      </c>
      <c r="D60" s="79"/>
      <c r="E60" s="80" t="n">
        <f aca="false">E59</f>
        <v>4</v>
      </c>
      <c r="F60" s="80" t="n">
        <f aca="false">F59</f>
        <v>4</v>
      </c>
      <c r="G60" s="85"/>
      <c r="H60" s="77"/>
      <c r="I60" s="77"/>
      <c r="J60" s="77"/>
      <c r="K60" s="77"/>
      <c r="L60" s="77"/>
      <c r="N60" s="82" t="n">
        <f aca="false">((C60*G60*J60)/$D$3)+M60</f>
        <v>0</v>
      </c>
      <c r="O60" s="82" t="n">
        <f aca="false">((E60*H60*K60)/$D$3)</f>
        <v>0</v>
      </c>
      <c r="P60" s="82" t="n">
        <f aca="false">((F60*I60*L60)/$D$3)</f>
        <v>0</v>
      </c>
      <c r="Q60" s="82" t="n">
        <f aca="false">SUM(N60:P60)</f>
        <v>0</v>
      </c>
    </row>
    <row r="61" customFormat="false" ht="12.75" hidden="true" customHeight="true" outlineLevel="0" collapsed="false">
      <c r="A61" s="77" t="n">
        <v>50</v>
      </c>
      <c r="B61" s="77"/>
      <c r="C61" s="79" t="n">
        <f aca="false">C59</f>
        <v>22</v>
      </c>
      <c r="D61" s="79"/>
      <c r="E61" s="80" t="n">
        <f aca="false">E60</f>
        <v>4</v>
      </c>
      <c r="F61" s="80" t="n">
        <f aca="false">F60</f>
        <v>4</v>
      </c>
      <c r="G61" s="85"/>
      <c r="H61" s="77"/>
      <c r="I61" s="77"/>
      <c r="J61" s="77"/>
      <c r="K61" s="77"/>
      <c r="L61" s="77"/>
      <c r="N61" s="82" t="n">
        <f aca="false">((C61*G61*J61)/$D$3)+M61</f>
        <v>0</v>
      </c>
      <c r="O61" s="82" t="n">
        <f aca="false">((E61*H61*K61)/$D$3)</f>
        <v>0</v>
      </c>
      <c r="P61" s="82" t="n">
        <f aca="false">((F61*I61*L61)/$D$3)</f>
        <v>0</v>
      </c>
      <c r="Q61" s="82" t="n">
        <f aca="false">SUM(N61:P61)</f>
        <v>0</v>
      </c>
    </row>
    <row r="62" customFormat="false" ht="12.75" hidden="true" customHeight="true" outlineLevel="0" collapsed="false">
      <c r="A62" s="77" t="n">
        <v>51</v>
      </c>
      <c r="B62" s="77"/>
      <c r="C62" s="79" t="n">
        <f aca="false">C60</f>
        <v>22</v>
      </c>
      <c r="D62" s="79"/>
      <c r="E62" s="80" t="n">
        <f aca="false">E61</f>
        <v>4</v>
      </c>
      <c r="F62" s="80" t="n">
        <f aca="false">F61</f>
        <v>4</v>
      </c>
      <c r="G62" s="85"/>
      <c r="H62" s="77"/>
      <c r="I62" s="77"/>
      <c r="J62" s="77"/>
      <c r="K62" s="77"/>
      <c r="L62" s="77"/>
      <c r="N62" s="82" t="n">
        <f aca="false">((C62*G62*J62)/$D$3)+M62</f>
        <v>0</v>
      </c>
      <c r="O62" s="82" t="n">
        <f aca="false">((E62*H62*K62)/$D$3)</f>
        <v>0</v>
      </c>
      <c r="P62" s="82" t="n">
        <f aca="false">((F62*I62*L62)/$D$3)</f>
        <v>0</v>
      </c>
      <c r="Q62" s="82" t="n">
        <f aca="false">SUM(N62:P62)</f>
        <v>0</v>
      </c>
    </row>
    <row r="63" customFormat="false" ht="12.75" hidden="true" customHeight="true" outlineLevel="0" collapsed="false">
      <c r="A63" s="77" t="n">
        <v>52</v>
      </c>
      <c r="B63" s="77"/>
      <c r="C63" s="79" t="n">
        <f aca="false">C61</f>
        <v>22</v>
      </c>
      <c r="D63" s="79"/>
      <c r="E63" s="80" t="n">
        <f aca="false">E62</f>
        <v>4</v>
      </c>
      <c r="F63" s="80" t="n">
        <f aca="false">F62</f>
        <v>4</v>
      </c>
      <c r="G63" s="85"/>
      <c r="H63" s="77"/>
      <c r="I63" s="77"/>
      <c r="J63" s="77"/>
      <c r="K63" s="77"/>
      <c r="L63" s="77"/>
      <c r="N63" s="82" t="n">
        <f aca="false">((C63*G63*J63)/$D$3)+M63</f>
        <v>0</v>
      </c>
      <c r="O63" s="82" t="n">
        <f aca="false">((E63*H63*K63)/$D$3)</f>
        <v>0</v>
      </c>
      <c r="P63" s="82" t="n">
        <f aca="false">((F63*I63*L63)/$D$3)</f>
        <v>0</v>
      </c>
      <c r="Q63" s="82" t="n">
        <f aca="false">SUM(N63:P63)</f>
        <v>0</v>
      </c>
    </row>
    <row r="64" customFormat="false" ht="12.75" hidden="true" customHeight="true" outlineLevel="0" collapsed="false">
      <c r="A64" s="77" t="n">
        <v>53</v>
      </c>
      <c r="B64" s="77"/>
      <c r="C64" s="79" t="n">
        <f aca="false">C62</f>
        <v>22</v>
      </c>
      <c r="D64" s="79"/>
      <c r="E64" s="80" t="n">
        <f aca="false">E63</f>
        <v>4</v>
      </c>
      <c r="F64" s="80" t="n">
        <f aca="false">F63</f>
        <v>4</v>
      </c>
      <c r="G64" s="85"/>
      <c r="H64" s="77"/>
      <c r="I64" s="77"/>
      <c r="J64" s="77"/>
      <c r="K64" s="77"/>
      <c r="L64" s="77"/>
      <c r="N64" s="82" t="n">
        <f aca="false">((C64*G64*J64)/$D$3)+M64</f>
        <v>0</v>
      </c>
      <c r="O64" s="82" t="n">
        <f aca="false">((E64*H64*K64)/$D$3)</f>
        <v>0</v>
      </c>
      <c r="P64" s="82" t="n">
        <f aca="false">((F64*I64*L64)/$D$3)</f>
        <v>0</v>
      </c>
      <c r="Q64" s="82" t="n">
        <f aca="false">SUM(N64:P64)</f>
        <v>0</v>
      </c>
    </row>
    <row r="65" customFormat="false" ht="12.75" hidden="true" customHeight="true" outlineLevel="0" collapsed="false">
      <c r="A65" s="77" t="n">
        <v>54</v>
      </c>
      <c r="B65" s="77"/>
      <c r="C65" s="79" t="n">
        <f aca="false">C63</f>
        <v>22</v>
      </c>
      <c r="D65" s="79"/>
      <c r="E65" s="80" t="n">
        <f aca="false">E64</f>
        <v>4</v>
      </c>
      <c r="F65" s="80" t="n">
        <f aca="false">F64</f>
        <v>4</v>
      </c>
      <c r="G65" s="85"/>
      <c r="H65" s="77"/>
      <c r="I65" s="77"/>
      <c r="J65" s="77"/>
      <c r="K65" s="77"/>
      <c r="L65" s="77"/>
      <c r="N65" s="82" t="n">
        <f aca="false">((C65*G65*J65)/$D$3)+M65</f>
        <v>0</v>
      </c>
      <c r="O65" s="82" t="n">
        <f aca="false">((E65*H65*K65)/$D$3)</f>
        <v>0</v>
      </c>
      <c r="P65" s="82" t="n">
        <f aca="false">((F65*I65*L65)/$D$3)</f>
        <v>0</v>
      </c>
      <c r="Q65" s="82" t="n">
        <f aca="false">SUM(N65:P65)</f>
        <v>0</v>
      </c>
    </row>
    <row r="66" customFormat="false" ht="12.75" hidden="true" customHeight="true" outlineLevel="0" collapsed="false">
      <c r="A66" s="77" t="n">
        <v>55</v>
      </c>
      <c r="B66" s="77"/>
      <c r="C66" s="79" t="n">
        <f aca="false">C64</f>
        <v>22</v>
      </c>
      <c r="D66" s="79"/>
      <c r="E66" s="80" t="n">
        <f aca="false">E65</f>
        <v>4</v>
      </c>
      <c r="F66" s="80" t="n">
        <f aca="false">F65</f>
        <v>4</v>
      </c>
      <c r="G66" s="85"/>
      <c r="H66" s="77"/>
      <c r="I66" s="77"/>
      <c r="J66" s="77"/>
      <c r="K66" s="77"/>
      <c r="L66" s="77"/>
      <c r="N66" s="82" t="n">
        <f aca="false">((C66*G66*J66)/$D$3)+M66</f>
        <v>0</v>
      </c>
      <c r="O66" s="82" t="n">
        <f aca="false">((E66*H66*K66)/$D$3)</f>
        <v>0</v>
      </c>
      <c r="P66" s="82" t="n">
        <f aca="false">((F66*I66*L66)/$D$3)</f>
        <v>0</v>
      </c>
      <c r="Q66" s="82" t="n">
        <f aca="false">SUM(N66:P66)</f>
        <v>0</v>
      </c>
    </row>
    <row r="67" customFormat="false" ht="12.75" hidden="true" customHeight="true" outlineLevel="0" collapsed="false">
      <c r="A67" s="77" t="n">
        <v>56</v>
      </c>
      <c r="B67" s="77"/>
      <c r="C67" s="79" t="n">
        <f aca="false">C65</f>
        <v>22</v>
      </c>
      <c r="D67" s="79"/>
      <c r="E67" s="80" t="n">
        <f aca="false">E66</f>
        <v>4</v>
      </c>
      <c r="F67" s="80" t="n">
        <f aca="false">F66</f>
        <v>4</v>
      </c>
      <c r="G67" s="85"/>
      <c r="H67" s="77"/>
      <c r="I67" s="77"/>
      <c r="J67" s="77"/>
      <c r="K67" s="77"/>
      <c r="L67" s="77"/>
      <c r="N67" s="82" t="n">
        <f aca="false">((C67*G67*J67)/$D$3)+M67</f>
        <v>0</v>
      </c>
      <c r="O67" s="82" t="n">
        <f aca="false">((E67*H67*K67)/$D$3)</f>
        <v>0</v>
      </c>
      <c r="P67" s="82" t="n">
        <f aca="false">((F67*I67*L67)/$D$3)</f>
        <v>0</v>
      </c>
      <c r="Q67" s="82" t="n">
        <f aca="false">SUM(N67:P67)</f>
        <v>0</v>
      </c>
    </row>
    <row r="68" customFormat="false" ht="12.75" hidden="true" customHeight="true" outlineLevel="0" collapsed="false">
      <c r="A68" s="77" t="n">
        <v>57</v>
      </c>
      <c r="B68" s="77"/>
      <c r="C68" s="79" t="n">
        <f aca="false">C66</f>
        <v>22</v>
      </c>
      <c r="D68" s="79"/>
      <c r="E68" s="80" t="n">
        <f aca="false">E67</f>
        <v>4</v>
      </c>
      <c r="F68" s="80" t="n">
        <f aca="false">F67</f>
        <v>4</v>
      </c>
      <c r="G68" s="85"/>
      <c r="H68" s="77"/>
      <c r="I68" s="77"/>
      <c r="J68" s="77"/>
      <c r="K68" s="77"/>
      <c r="L68" s="77"/>
      <c r="N68" s="82" t="n">
        <f aca="false">((C68*G68*J68)/$D$3)+M68</f>
        <v>0</v>
      </c>
      <c r="O68" s="82" t="n">
        <f aca="false">((E68*H68*K68)/$D$3)</f>
        <v>0</v>
      </c>
      <c r="P68" s="82" t="n">
        <f aca="false">((F68*I68*L68)/$D$3)</f>
        <v>0</v>
      </c>
      <c r="Q68" s="82" t="n">
        <f aca="false">SUM(N68:P68)</f>
        <v>0</v>
      </c>
    </row>
    <row r="69" customFormat="false" ht="12.75" hidden="true" customHeight="true" outlineLevel="0" collapsed="false">
      <c r="A69" s="77" t="n">
        <v>58</v>
      </c>
      <c r="B69" s="77"/>
      <c r="C69" s="79" t="n">
        <f aca="false">C67</f>
        <v>22</v>
      </c>
      <c r="D69" s="79"/>
      <c r="E69" s="80" t="n">
        <f aca="false">E68</f>
        <v>4</v>
      </c>
      <c r="F69" s="80" t="n">
        <f aca="false">F68</f>
        <v>4</v>
      </c>
      <c r="G69" s="85"/>
      <c r="H69" s="77"/>
      <c r="I69" s="77"/>
      <c r="J69" s="77"/>
      <c r="K69" s="77"/>
      <c r="L69" s="77"/>
      <c r="N69" s="82" t="n">
        <f aca="false">((C69*G69*J69)/$D$3)+M69</f>
        <v>0</v>
      </c>
      <c r="O69" s="82" t="n">
        <f aca="false">((E69*H69*K69)/$D$3)</f>
        <v>0</v>
      </c>
      <c r="P69" s="82" t="n">
        <f aca="false">((F69*I69*L69)/$D$3)</f>
        <v>0</v>
      </c>
      <c r="Q69" s="82" t="n">
        <f aca="false">SUM(N69:P69)</f>
        <v>0</v>
      </c>
    </row>
    <row r="70" customFormat="false" ht="12.75" hidden="true" customHeight="true" outlineLevel="0" collapsed="false">
      <c r="A70" s="77" t="n">
        <v>59</v>
      </c>
      <c r="B70" s="77"/>
      <c r="C70" s="79" t="n">
        <f aca="false">C68</f>
        <v>22</v>
      </c>
      <c r="D70" s="79"/>
      <c r="E70" s="80" t="n">
        <f aca="false">E69</f>
        <v>4</v>
      </c>
      <c r="F70" s="80" t="n">
        <f aca="false">F69</f>
        <v>4</v>
      </c>
      <c r="G70" s="85"/>
      <c r="H70" s="77"/>
      <c r="I70" s="77"/>
      <c r="J70" s="77"/>
      <c r="K70" s="77"/>
      <c r="L70" s="77"/>
      <c r="N70" s="82" t="n">
        <f aca="false">((C70*G70*J70)/$D$3)+M70</f>
        <v>0</v>
      </c>
      <c r="O70" s="82" t="n">
        <f aca="false">((E70*H70*K70)/$D$3)</f>
        <v>0</v>
      </c>
      <c r="P70" s="82" t="n">
        <f aca="false">((F70*I70*L70)/$D$3)</f>
        <v>0</v>
      </c>
      <c r="Q70" s="82" t="n">
        <f aca="false">SUM(N70:P70)</f>
        <v>0</v>
      </c>
    </row>
    <row r="71" customFormat="false" ht="12.75" hidden="true" customHeight="true" outlineLevel="0" collapsed="false">
      <c r="A71" s="77" t="n">
        <v>60</v>
      </c>
      <c r="B71" s="77"/>
      <c r="C71" s="79" t="n">
        <f aca="false">C69</f>
        <v>22</v>
      </c>
      <c r="D71" s="79"/>
      <c r="E71" s="80" t="n">
        <f aca="false">E70</f>
        <v>4</v>
      </c>
      <c r="F71" s="80" t="n">
        <f aca="false">F70</f>
        <v>4</v>
      </c>
      <c r="G71" s="85"/>
      <c r="H71" s="77"/>
      <c r="I71" s="77"/>
      <c r="J71" s="77"/>
      <c r="K71" s="77"/>
      <c r="L71" s="77"/>
      <c r="N71" s="82" t="n">
        <f aca="false">((C71*G71*J71)/$D$3)+M71</f>
        <v>0</v>
      </c>
      <c r="O71" s="82" t="n">
        <f aca="false">((E71*H71*K71)/$D$3)</f>
        <v>0</v>
      </c>
      <c r="P71" s="82" t="n">
        <f aca="false">((F71*I71*L71)/$D$3)</f>
        <v>0</v>
      </c>
      <c r="Q71" s="82" t="n">
        <f aca="false">SUM(N71:P71)</f>
        <v>0</v>
      </c>
    </row>
    <row r="72" customFormat="false" ht="12.75" hidden="true" customHeight="true" outlineLevel="0" collapsed="false">
      <c r="A72" s="77" t="n">
        <v>61</v>
      </c>
      <c r="B72" s="77"/>
      <c r="C72" s="79" t="n">
        <f aca="false">C70</f>
        <v>22</v>
      </c>
      <c r="D72" s="79"/>
      <c r="E72" s="80" t="n">
        <f aca="false">E71</f>
        <v>4</v>
      </c>
      <c r="F72" s="80" t="n">
        <f aca="false">F71</f>
        <v>4</v>
      </c>
      <c r="G72" s="85"/>
      <c r="H72" s="77"/>
      <c r="I72" s="77"/>
      <c r="J72" s="77"/>
      <c r="K72" s="77"/>
      <c r="L72" s="77"/>
      <c r="N72" s="82" t="n">
        <f aca="false">((C72*G72*J72)/$D$3)+M72</f>
        <v>0</v>
      </c>
      <c r="O72" s="82" t="n">
        <f aca="false">((E72*H72*K72)/$D$3)</f>
        <v>0</v>
      </c>
      <c r="P72" s="82" t="n">
        <f aca="false">((F72*I72*L72)/$D$3)</f>
        <v>0</v>
      </c>
      <c r="Q72" s="82" t="n">
        <f aca="false">SUM(N72:P72)</f>
        <v>0</v>
      </c>
    </row>
    <row r="73" customFormat="false" ht="12.75" hidden="true" customHeight="true" outlineLevel="0" collapsed="false">
      <c r="A73" s="77" t="n">
        <v>62</v>
      </c>
      <c r="B73" s="77"/>
      <c r="C73" s="79" t="n">
        <f aca="false">C71</f>
        <v>22</v>
      </c>
      <c r="D73" s="79"/>
      <c r="E73" s="80" t="n">
        <f aca="false">E72</f>
        <v>4</v>
      </c>
      <c r="F73" s="80" t="n">
        <f aca="false">F72</f>
        <v>4</v>
      </c>
      <c r="G73" s="85"/>
      <c r="H73" s="77"/>
      <c r="I73" s="77"/>
      <c r="J73" s="77"/>
      <c r="K73" s="77"/>
      <c r="L73" s="77"/>
      <c r="N73" s="82" t="n">
        <f aca="false">((C73*G73*J73)/$D$3)+M73</f>
        <v>0</v>
      </c>
      <c r="O73" s="82" t="n">
        <f aca="false">((E73*H73*K73)/$D$3)</f>
        <v>0</v>
      </c>
      <c r="P73" s="82" t="n">
        <f aca="false">((F73*I73*L73)/$D$3)</f>
        <v>0</v>
      </c>
      <c r="Q73" s="82" t="n">
        <f aca="false">SUM(N73:P73)</f>
        <v>0</v>
      </c>
    </row>
    <row r="74" customFormat="false" ht="12.75" hidden="true" customHeight="true" outlineLevel="0" collapsed="false">
      <c r="A74" s="77" t="n">
        <v>63</v>
      </c>
      <c r="B74" s="77"/>
      <c r="C74" s="79" t="n">
        <f aca="false">C72</f>
        <v>22</v>
      </c>
      <c r="D74" s="79"/>
      <c r="E74" s="80" t="n">
        <f aca="false">E73</f>
        <v>4</v>
      </c>
      <c r="F74" s="80" t="n">
        <f aca="false">F73</f>
        <v>4</v>
      </c>
      <c r="G74" s="85"/>
      <c r="H74" s="77"/>
      <c r="I74" s="77"/>
      <c r="J74" s="77"/>
      <c r="K74" s="77"/>
      <c r="L74" s="77"/>
      <c r="N74" s="82" t="n">
        <f aca="false">((C74*G74*J74)/$D$3)+M74</f>
        <v>0</v>
      </c>
      <c r="O74" s="82" t="n">
        <f aca="false">((E74*H74*K74)/$D$3)</f>
        <v>0</v>
      </c>
      <c r="P74" s="82" t="n">
        <f aca="false">((F74*I74*L74)/$D$3)</f>
        <v>0</v>
      </c>
      <c r="Q74" s="82" t="n">
        <f aca="false">SUM(N74:P74)</f>
        <v>0</v>
      </c>
    </row>
    <row r="75" customFormat="false" ht="12.75" hidden="true" customHeight="true" outlineLevel="0" collapsed="false">
      <c r="A75" s="77" t="n">
        <v>64</v>
      </c>
      <c r="B75" s="77"/>
      <c r="C75" s="79" t="n">
        <f aca="false">C73</f>
        <v>22</v>
      </c>
      <c r="D75" s="79"/>
      <c r="E75" s="80" t="n">
        <f aca="false">E74</f>
        <v>4</v>
      </c>
      <c r="F75" s="80" t="n">
        <f aca="false">F74</f>
        <v>4</v>
      </c>
      <c r="G75" s="85"/>
      <c r="H75" s="77"/>
      <c r="I75" s="77"/>
      <c r="J75" s="77"/>
      <c r="K75" s="77"/>
      <c r="L75" s="77"/>
      <c r="N75" s="82" t="n">
        <f aca="false">((C75*G75*J75)/$D$3)+M75</f>
        <v>0</v>
      </c>
      <c r="O75" s="82" t="n">
        <f aca="false">((E75*H75*K75)/$D$3)</f>
        <v>0</v>
      </c>
      <c r="P75" s="82" t="n">
        <f aca="false">((F75*I75*L75)/$D$3)</f>
        <v>0</v>
      </c>
      <c r="Q75" s="82" t="n">
        <f aca="false">SUM(N75:P75)</f>
        <v>0</v>
      </c>
    </row>
    <row r="76" customFormat="false" ht="12.75" hidden="true" customHeight="true" outlineLevel="0" collapsed="false">
      <c r="A76" s="77" t="n">
        <v>65</v>
      </c>
      <c r="B76" s="77"/>
      <c r="C76" s="79" t="n">
        <f aca="false">C74</f>
        <v>22</v>
      </c>
      <c r="D76" s="79"/>
      <c r="E76" s="80" t="n">
        <f aca="false">E75</f>
        <v>4</v>
      </c>
      <c r="F76" s="80" t="n">
        <f aca="false">F75</f>
        <v>4</v>
      </c>
      <c r="G76" s="85"/>
      <c r="H76" s="77"/>
      <c r="I76" s="77"/>
      <c r="J76" s="77"/>
      <c r="K76" s="77"/>
      <c r="L76" s="77"/>
      <c r="N76" s="82" t="n">
        <f aca="false">((C76*G76*J76)/$D$3)+M76</f>
        <v>0</v>
      </c>
      <c r="O76" s="82" t="n">
        <f aca="false">((E76*H76*K76)/$D$3)</f>
        <v>0</v>
      </c>
      <c r="P76" s="82" t="n">
        <f aca="false">((F76*I76*L76)/$D$3)</f>
        <v>0</v>
      </c>
      <c r="Q76" s="82" t="n">
        <f aca="false">SUM(N76:P76)</f>
        <v>0</v>
      </c>
    </row>
    <row r="77" customFormat="false" ht="12.75" hidden="true" customHeight="true" outlineLevel="0" collapsed="false">
      <c r="A77" s="77" t="n">
        <v>66</v>
      </c>
      <c r="B77" s="77"/>
      <c r="C77" s="79" t="n">
        <f aca="false">C75</f>
        <v>22</v>
      </c>
      <c r="D77" s="79"/>
      <c r="E77" s="80" t="n">
        <f aca="false">E76</f>
        <v>4</v>
      </c>
      <c r="F77" s="80" t="n">
        <f aca="false">F76</f>
        <v>4</v>
      </c>
      <c r="G77" s="85"/>
      <c r="H77" s="77"/>
      <c r="I77" s="77"/>
      <c r="J77" s="77"/>
      <c r="K77" s="77"/>
      <c r="L77" s="77"/>
      <c r="N77" s="82" t="n">
        <f aca="false">((C77*G77*J77)/$D$3)+M77</f>
        <v>0</v>
      </c>
      <c r="O77" s="82" t="n">
        <f aca="false">((E77*H77*K77)/$D$3)</f>
        <v>0</v>
      </c>
      <c r="P77" s="82" t="n">
        <f aca="false">((F77*I77*L77)/$D$3)</f>
        <v>0</v>
      </c>
      <c r="Q77" s="82" t="n">
        <f aca="false">SUM(N77:P77)</f>
        <v>0</v>
      </c>
    </row>
    <row r="78" customFormat="false" ht="12.75" hidden="true" customHeight="true" outlineLevel="0" collapsed="false">
      <c r="A78" s="77" t="n">
        <v>67</v>
      </c>
      <c r="B78" s="77"/>
      <c r="C78" s="79" t="n">
        <f aca="false">C76</f>
        <v>22</v>
      </c>
      <c r="D78" s="79"/>
      <c r="E78" s="80" t="n">
        <f aca="false">E77</f>
        <v>4</v>
      </c>
      <c r="F78" s="80" t="n">
        <f aca="false">F77</f>
        <v>4</v>
      </c>
      <c r="G78" s="85"/>
      <c r="H78" s="77"/>
      <c r="I78" s="77"/>
      <c r="J78" s="77"/>
      <c r="K78" s="77"/>
      <c r="L78" s="77"/>
      <c r="N78" s="82" t="n">
        <f aca="false">((C78*G78*J78)/$D$3)+M78</f>
        <v>0</v>
      </c>
      <c r="O78" s="82" t="n">
        <f aca="false">((E78*H78*K78)/$D$3)</f>
        <v>0</v>
      </c>
      <c r="P78" s="82" t="n">
        <f aca="false">((F78*I78*L78)/$D$3)</f>
        <v>0</v>
      </c>
      <c r="Q78" s="82" t="n">
        <f aca="false">SUM(N78:P78)</f>
        <v>0</v>
      </c>
    </row>
    <row r="79" customFormat="false" ht="12.75" hidden="true" customHeight="true" outlineLevel="0" collapsed="false">
      <c r="A79" s="77" t="n">
        <v>68</v>
      </c>
      <c r="B79" s="77"/>
      <c r="C79" s="79" t="n">
        <f aca="false">C77</f>
        <v>22</v>
      </c>
      <c r="D79" s="79"/>
      <c r="E79" s="80" t="n">
        <f aca="false">E78</f>
        <v>4</v>
      </c>
      <c r="F79" s="80" t="n">
        <f aca="false">F78</f>
        <v>4</v>
      </c>
      <c r="G79" s="85"/>
      <c r="H79" s="77"/>
      <c r="I79" s="77"/>
      <c r="J79" s="77"/>
      <c r="K79" s="77"/>
      <c r="L79" s="77"/>
      <c r="N79" s="82" t="n">
        <f aca="false">((C79*G79*J79)/$D$3)+M79</f>
        <v>0</v>
      </c>
      <c r="O79" s="82" t="n">
        <f aca="false">((E79*H79*K79)/$D$3)</f>
        <v>0</v>
      </c>
      <c r="P79" s="82" t="n">
        <f aca="false">((F79*I79*L79)/$D$3)</f>
        <v>0</v>
      </c>
      <c r="Q79" s="82" t="n">
        <f aca="false">SUM(N79:P79)</f>
        <v>0</v>
      </c>
    </row>
    <row r="80" customFormat="false" ht="12.75" hidden="true" customHeight="true" outlineLevel="0" collapsed="false">
      <c r="A80" s="77" t="n">
        <v>69</v>
      </c>
      <c r="B80" s="77"/>
      <c r="C80" s="79" t="n">
        <f aca="false">C78</f>
        <v>22</v>
      </c>
      <c r="D80" s="79"/>
      <c r="E80" s="80" t="n">
        <f aca="false">E79</f>
        <v>4</v>
      </c>
      <c r="F80" s="80" t="n">
        <f aca="false">F79</f>
        <v>4</v>
      </c>
      <c r="G80" s="85"/>
      <c r="H80" s="77"/>
      <c r="I80" s="77"/>
      <c r="J80" s="77"/>
      <c r="K80" s="77"/>
      <c r="L80" s="77"/>
      <c r="N80" s="82" t="n">
        <f aca="false">((C80*G80*J80)/$D$3)+M80</f>
        <v>0</v>
      </c>
      <c r="O80" s="82" t="n">
        <f aca="false">((E80*H80*K80)/$D$3)</f>
        <v>0</v>
      </c>
      <c r="P80" s="82" t="n">
        <f aca="false">((F80*I80*L80)/$D$3)</f>
        <v>0</v>
      </c>
      <c r="Q80" s="82" t="n">
        <f aca="false">SUM(N80:P80)</f>
        <v>0</v>
      </c>
    </row>
    <row r="81" customFormat="false" ht="12.75" hidden="true" customHeight="true" outlineLevel="0" collapsed="false">
      <c r="A81" s="77" t="n">
        <v>70</v>
      </c>
      <c r="B81" s="77"/>
      <c r="C81" s="79" t="n">
        <f aca="false">C79</f>
        <v>22</v>
      </c>
      <c r="D81" s="79"/>
      <c r="E81" s="80" t="n">
        <f aca="false">E80</f>
        <v>4</v>
      </c>
      <c r="F81" s="80" t="n">
        <f aca="false">F80</f>
        <v>4</v>
      </c>
      <c r="G81" s="85"/>
      <c r="H81" s="77"/>
      <c r="I81" s="77"/>
      <c r="J81" s="77"/>
      <c r="K81" s="77"/>
      <c r="L81" s="77"/>
      <c r="N81" s="82" t="n">
        <f aca="false">((C81*G81*J81)/$D$3)+M81</f>
        <v>0</v>
      </c>
      <c r="O81" s="82" t="n">
        <f aca="false">((E81*H81*K81)/$D$3)</f>
        <v>0</v>
      </c>
      <c r="P81" s="82" t="n">
        <f aca="false">((F81*I81*L81)/$D$3)</f>
        <v>0</v>
      </c>
      <c r="Q81" s="82" t="n">
        <f aca="false">SUM(N81:P81)</f>
        <v>0</v>
      </c>
    </row>
    <row r="82" customFormat="false" ht="12.75" hidden="true" customHeight="true" outlineLevel="0" collapsed="false">
      <c r="A82" s="77" t="n">
        <v>71</v>
      </c>
      <c r="B82" s="77"/>
      <c r="C82" s="79" t="n">
        <f aca="false">C80</f>
        <v>22</v>
      </c>
      <c r="D82" s="79"/>
      <c r="E82" s="80" t="n">
        <f aca="false">E81</f>
        <v>4</v>
      </c>
      <c r="F82" s="80" t="n">
        <f aca="false">F81</f>
        <v>4</v>
      </c>
      <c r="G82" s="85"/>
      <c r="H82" s="77"/>
      <c r="I82" s="77"/>
      <c r="J82" s="77"/>
      <c r="K82" s="77"/>
      <c r="L82" s="77"/>
      <c r="N82" s="82" t="n">
        <f aca="false">((C82*G82*J82)/$D$3)+M82</f>
        <v>0</v>
      </c>
      <c r="O82" s="82" t="n">
        <f aca="false">((E82*H82*K82)/$D$3)</f>
        <v>0</v>
      </c>
      <c r="P82" s="82" t="n">
        <f aca="false">((F82*I82*L82)/$D$3)</f>
        <v>0</v>
      </c>
      <c r="Q82" s="82" t="n">
        <f aca="false">SUM(N82:P82)</f>
        <v>0</v>
      </c>
    </row>
    <row r="83" customFormat="false" ht="12.75" hidden="true" customHeight="true" outlineLevel="0" collapsed="false">
      <c r="A83" s="77" t="n">
        <v>72</v>
      </c>
      <c r="B83" s="77"/>
      <c r="C83" s="79" t="n">
        <f aca="false">C81</f>
        <v>22</v>
      </c>
      <c r="D83" s="79"/>
      <c r="E83" s="80" t="n">
        <f aca="false">E82</f>
        <v>4</v>
      </c>
      <c r="F83" s="80" t="n">
        <f aca="false">F82</f>
        <v>4</v>
      </c>
      <c r="G83" s="85"/>
      <c r="H83" s="77"/>
      <c r="I83" s="77"/>
      <c r="J83" s="77"/>
      <c r="K83" s="77"/>
      <c r="L83" s="77"/>
      <c r="N83" s="82" t="n">
        <f aca="false">((C83*G83*J83)/$D$3)+M83</f>
        <v>0</v>
      </c>
      <c r="O83" s="82" t="n">
        <f aca="false">((E83*H83*K83)/$D$3)</f>
        <v>0</v>
      </c>
      <c r="P83" s="82" t="n">
        <f aca="false">((F83*I83*L83)/$D$3)</f>
        <v>0</v>
      </c>
      <c r="Q83" s="82" t="n">
        <f aca="false">SUM(N83:P83)</f>
        <v>0</v>
      </c>
    </row>
    <row r="84" customFormat="false" ht="12.75" hidden="true" customHeight="true" outlineLevel="0" collapsed="false">
      <c r="A84" s="77" t="n">
        <v>73</v>
      </c>
      <c r="B84" s="77"/>
      <c r="C84" s="79" t="n">
        <f aca="false">C82</f>
        <v>22</v>
      </c>
      <c r="D84" s="79"/>
      <c r="E84" s="80" t="n">
        <f aca="false">E83</f>
        <v>4</v>
      </c>
      <c r="F84" s="80" t="n">
        <f aca="false">F83</f>
        <v>4</v>
      </c>
      <c r="G84" s="85"/>
      <c r="H84" s="77"/>
      <c r="I84" s="77"/>
      <c r="J84" s="77"/>
      <c r="K84" s="77"/>
      <c r="L84" s="77"/>
      <c r="N84" s="82" t="n">
        <f aca="false">((C84*G84*J84)/$D$3)+M84</f>
        <v>0</v>
      </c>
      <c r="O84" s="82" t="n">
        <f aca="false">((E84*H84*K84)/$D$3)</f>
        <v>0</v>
      </c>
      <c r="P84" s="82" t="n">
        <f aca="false">((F84*I84*L84)/$D$3)</f>
        <v>0</v>
      </c>
      <c r="Q84" s="82" t="n">
        <f aca="false">SUM(N84:P84)</f>
        <v>0</v>
      </c>
    </row>
    <row r="85" customFormat="false" ht="12.75" hidden="true" customHeight="true" outlineLevel="0" collapsed="false">
      <c r="A85" s="77" t="n">
        <v>74</v>
      </c>
      <c r="B85" s="77"/>
      <c r="C85" s="79" t="n">
        <f aca="false">C83</f>
        <v>22</v>
      </c>
      <c r="D85" s="79"/>
      <c r="E85" s="80" t="n">
        <f aca="false">E84</f>
        <v>4</v>
      </c>
      <c r="F85" s="80" t="n">
        <f aca="false">F84</f>
        <v>4</v>
      </c>
      <c r="G85" s="85"/>
      <c r="H85" s="77"/>
      <c r="I85" s="77"/>
      <c r="J85" s="77"/>
      <c r="K85" s="77"/>
      <c r="L85" s="77"/>
      <c r="N85" s="82" t="n">
        <f aca="false">((C85*G85*J85)/$D$3)+M85</f>
        <v>0</v>
      </c>
      <c r="O85" s="82" t="n">
        <f aca="false">((E85*H85*K85)/$D$3)</f>
        <v>0</v>
      </c>
      <c r="P85" s="82" t="n">
        <f aca="false">((F85*I85*L85)/$D$3)</f>
        <v>0</v>
      </c>
      <c r="Q85" s="82" t="n">
        <f aca="false">SUM(N85:P85)</f>
        <v>0</v>
      </c>
    </row>
    <row r="86" customFormat="false" ht="12.75" hidden="true" customHeight="true" outlineLevel="0" collapsed="false">
      <c r="A86" s="77" t="n">
        <v>75</v>
      </c>
      <c r="B86" s="77"/>
      <c r="C86" s="79" t="n">
        <f aca="false">C84</f>
        <v>22</v>
      </c>
      <c r="D86" s="79"/>
      <c r="E86" s="80" t="n">
        <f aca="false">E85</f>
        <v>4</v>
      </c>
      <c r="F86" s="80" t="n">
        <f aca="false">F85</f>
        <v>4</v>
      </c>
      <c r="G86" s="85"/>
      <c r="H86" s="77"/>
      <c r="I86" s="77"/>
      <c r="J86" s="77"/>
      <c r="K86" s="77"/>
      <c r="L86" s="77"/>
      <c r="N86" s="82" t="n">
        <f aca="false">((C86*G86*J86)/$D$3)+M86</f>
        <v>0</v>
      </c>
      <c r="O86" s="82" t="n">
        <f aca="false">((E86*H86*K86)/$D$3)</f>
        <v>0</v>
      </c>
      <c r="P86" s="82" t="n">
        <f aca="false">((F86*I86*L86)/$D$3)</f>
        <v>0</v>
      </c>
      <c r="Q86" s="82" t="n">
        <f aca="false">SUM(N86:P86)</f>
        <v>0</v>
      </c>
    </row>
    <row r="87" customFormat="false" ht="12.75" hidden="true" customHeight="true" outlineLevel="0" collapsed="false">
      <c r="A87" s="77" t="n">
        <v>76</v>
      </c>
      <c r="B87" s="77"/>
      <c r="C87" s="79" t="n">
        <f aca="false">C85</f>
        <v>22</v>
      </c>
      <c r="D87" s="79"/>
      <c r="E87" s="80" t="n">
        <f aca="false">E86</f>
        <v>4</v>
      </c>
      <c r="F87" s="80" t="n">
        <f aca="false">F86</f>
        <v>4</v>
      </c>
      <c r="G87" s="85"/>
      <c r="H87" s="77"/>
      <c r="I87" s="77"/>
      <c r="J87" s="77"/>
      <c r="K87" s="77"/>
      <c r="L87" s="77"/>
      <c r="N87" s="82" t="n">
        <f aca="false">((C87*G87*J87)/$D$3)+M87</f>
        <v>0</v>
      </c>
      <c r="O87" s="82" t="n">
        <f aca="false">((E87*H87*K87)/$D$3)</f>
        <v>0</v>
      </c>
      <c r="P87" s="82" t="n">
        <f aca="false">((F87*I87*L87)/$D$3)</f>
        <v>0</v>
      </c>
      <c r="Q87" s="82" t="n">
        <f aca="false">SUM(N87:P87)</f>
        <v>0</v>
      </c>
    </row>
    <row r="88" customFormat="false" ht="12.75" hidden="true" customHeight="true" outlineLevel="0" collapsed="false">
      <c r="A88" s="77" t="n">
        <v>77</v>
      </c>
      <c r="B88" s="77"/>
      <c r="C88" s="79" t="n">
        <f aca="false">C86</f>
        <v>22</v>
      </c>
      <c r="D88" s="79"/>
      <c r="E88" s="80" t="n">
        <f aca="false">E87</f>
        <v>4</v>
      </c>
      <c r="F88" s="80" t="n">
        <f aca="false">F87</f>
        <v>4</v>
      </c>
      <c r="G88" s="85"/>
      <c r="H88" s="77"/>
      <c r="I88" s="77"/>
      <c r="J88" s="77"/>
      <c r="K88" s="77"/>
      <c r="L88" s="77"/>
      <c r="N88" s="82" t="n">
        <f aca="false">((C88*G88*J88)/$D$3)+M88</f>
        <v>0</v>
      </c>
      <c r="O88" s="82" t="n">
        <f aca="false">((E88*H88*K88)/$D$3)</f>
        <v>0</v>
      </c>
      <c r="P88" s="82" t="n">
        <f aca="false">((F88*I88*L88)/$D$3)</f>
        <v>0</v>
      </c>
      <c r="Q88" s="82" t="n">
        <f aca="false">SUM(N88:P88)</f>
        <v>0</v>
      </c>
    </row>
    <row r="89" customFormat="false" ht="12.75" hidden="true" customHeight="true" outlineLevel="0" collapsed="false">
      <c r="A89" s="77" t="n">
        <v>78</v>
      </c>
      <c r="B89" s="77"/>
      <c r="C89" s="79" t="n">
        <f aca="false">C87</f>
        <v>22</v>
      </c>
      <c r="D89" s="79"/>
      <c r="E89" s="80" t="n">
        <f aca="false">E88</f>
        <v>4</v>
      </c>
      <c r="F89" s="80" t="n">
        <f aca="false">F88</f>
        <v>4</v>
      </c>
      <c r="G89" s="85"/>
      <c r="H89" s="77"/>
      <c r="I89" s="77"/>
      <c r="J89" s="77"/>
      <c r="K89" s="77"/>
      <c r="L89" s="77"/>
      <c r="N89" s="82" t="n">
        <f aca="false">((C89*G89*J89)/$D$3)+M89</f>
        <v>0</v>
      </c>
      <c r="O89" s="82" t="n">
        <f aca="false">((E89*H89*K89)/$D$3)</f>
        <v>0</v>
      </c>
      <c r="P89" s="82" t="n">
        <f aca="false">((F89*I89*L89)/$D$3)</f>
        <v>0</v>
      </c>
      <c r="Q89" s="82" t="n">
        <f aca="false">SUM(N89:P89)</f>
        <v>0</v>
      </c>
    </row>
    <row r="90" customFormat="false" ht="12.75" hidden="true" customHeight="true" outlineLevel="0" collapsed="false">
      <c r="A90" s="77" t="n">
        <v>79</v>
      </c>
      <c r="B90" s="77"/>
      <c r="C90" s="79" t="n">
        <f aca="false">C88</f>
        <v>22</v>
      </c>
      <c r="D90" s="79"/>
      <c r="E90" s="80" t="n">
        <f aca="false">E89</f>
        <v>4</v>
      </c>
      <c r="F90" s="80" t="n">
        <f aca="false">F89</f>
        <v>4</v>
      </c>
      <c r="G90" s="85"/>
      <c r="H90" s="77"/>
      <c r="I90" s="77"/>
      <c r="J90" s="77"/>
      <c r="K90" s="77"/>
      <c r="L90" s="77"/>
      <c r="N90" s="82" t="n">
        <f aca="false">((C90*G90*J90)/$D$3)+M90</f>
        <v>0</v>
      </c>
      <c r="O90" s="82" t="n">
        <f aca="false">((E90*H90*K90)/$D$3)</f>
        <v>0</v>
      </c>
      <c r="P90" s="82" t="n">
        <f aca="false">((F90*I90*L90)/$D$3)</f>
        <v>0</v>
      </c>
      <c r="Q90" s="82" t="n">
        <f aca="false">SUM(N90:P90)</f>
        <v>0</v>
      </c>
    </row>
    <row r="91" customFormat="false" ht="12.75" hidden="true" customHeight="true" outlineLevel="0" collapsed="false">
      <c r="A91" s="77" t="n">
        <v>80</v>
      </c>
      <c r="B91" s="77"/>
      <c r="C91" s="79" t="n">
        <f aca="false">C89</f>
        <v>22</v>
      </c>
      <c r="D91" s="79"/>
      <c r="E91" s="80" t="n">
        <f aca="false">E90</f>
        <v>4</v>
      </c>
      <c r="F91" s="80" t="n">
        <f aca="false">F90</f>
        <v>4</v>
      </c>
      <c r="G91" s="85"/>
      <c r="H91" s="77"/>
      <c r="I91" s="77"/>
      <c r="J91" s="77"/>
      <c r="K91" s="77"/>
      <c r="L91" s="77"/>
      <c r="N91" s="82" t="n">
        <f aca="false">((C91*G91*J91)/$D$3)+M91</f>
        <v>0</v>
      </c>
      <c r="O91" s="82" t="n">
        <f aca="false">((E91*H91*K91)/$D$3)</f>
        <v>0</v>
      </c>
      <c r="P91" s="82" t="n">
        <f aca="false">((F91*I91*L91)/$D$3)</f>
        <v>0</v>
      </c>
      <c r="Q91" s="82" t="n">
        <f aca="false">SUM(N91:P91)</f>
        <v>0</v>
      </c>
    </row>
    <row r="92" customFormat="false" ht="12.75" hidden="true" customHeight="true" outlineLevel="0" collapsed="false">
      <c r="A92" s="77" t="n">
        <v>81</v>
      </c>
      <c r="B92" s="77"/>
      <c r="C92" s="79" t="n">
        <f aca="false">C90</f>
        <v>22</v>
      </c>
      <c r="D92" s="79"/>
      <c r="E92" s="80" t="n">
        <f aca="false">E91</f>
        <v>4</v>
      </c>
      <c r="F92" s="80" t="n">
        <f aca="false">F91</f>
        <v>4</v>
      </c>
      <c r="G92" s="85"/>
      <c r="H92" s="77"/>
      <c r="I92" s="77"/>
      <c r="J92" s="77"/>
      <c r="K92" s="77"/>
      <c r="L92" s="77"/>
      <c r="N92" s="82" t="n">
        <f aca="false">((C92*G92*J92)/$D$3)+M92</f>
        <v>0</v>
      </c>
      <c r="O92" s="82" t="n">
        <f aca="false">((E92*H92*K92)/$D$3)</f>
        <v>0</v>
      </c>
      <c r="P92" s="82" t="n">
        <f aca="false">((F92*I92*L92)/$D$3)</f>
        <v>0</v>
      </c>
      <c r="Q92" s="82" t="n">
        <f aca="false">SUM(N92:P92)</f>
        <v>0</v>
      </c>
    </row>
    <row r="93" customFormat="false" ht="12.75" hidden="true" customHeight="true" outlineLevel="0" collapsed="false">
      <c r="A93" s="77" t="n">
        <v>82</v>
      </c>
      <c r="B93" s="77"/>
      <c r="C93" s="79" t="n">
        <f aca="false">C91</f>
        <v>22</v>
      </c>
      <c r="D93" s="79"/>
      <c r="E93" s="80" t="n">
        <f aca="false">E92</f>
        <v>4</v>
      </c>
      <c r="F93" s="80" t="n">
        <f aca="false">F92</f>
        <v>4</v>
      </c>
      <c r="G93" s="85"/>
      <c r="H93" s="77"/>
      <c r="I93" s="77"/>
      <c r="J93" s="77"/>
      <c r="K93" s="77"/>
      <c r="L93" s="77"/>
      <c r="N93" s="82" t="n">
        <f aca="false">((C93*G93*J93)/$D$3)+M93</f>
        <v>0</v>
      </c>
      <c r="O93" s="82" t="n">
        <f aca="false">((E93*H93*K93)/$D$3)</f>
        <v>0</v>
      </c>
      <c r="P93" s="82" t="n">
        <f aca="false">((F93*I93*L93)/$D$3)</f>
        <v>0</v>
      </c>
      <c r="Q93" s="82" t="n">
        <f aca="false">SUM(N93:P93)</f>
        <v>0</v>
      </c>
    </row>
    <row r="94" customFormat="false" ht="12.75" hidden="true" customHeight="true" outlineLevel="0" collapsed="false">
      <c r="A94" s="77" t="n">
        <v>83</v>
      </c>
      <c r="B94" s="77"/>
      <c r="C94" s="79" t="n">
        <f aca="false">C92</f>
        <v>22</v>
      </c>
      <c r="D94" s="79"/>
      <c r="E94" s="80" t="n">
        <f aca="false">E93</f>
        <v>4</v>
      </c>
      <c r="F94" s="80" t="n">
        <f aca="false">F93</f>
        <v>4</v>
      </c>
      <c r="G94" s="85"/>
      <c r="H94" s="77"/>
      <c r="I94" s="77"/>
      <c r="J94" s="77"/>
      <c r="K94" s="77"/>
      <c r="L94" s="77"/>
      <c r="N94" s="82" t="n">
        <f aca="false">((C94*G94*J94)/$D$3)+M94</f>
        <v>0</v>
      </c>
      <c r="O94" s="82" t="n">
        <f aca="false">((E94*H94*K94)/$D$3)</f>
        <v>0</v>
      </c>
      <c r="P94" s="82" t="n">
        <f aca="false">((F94*I94*L94)/$D$3)</f>
        <v>0</v>
      </c>
      <c r="Q94" s="82" t="n">
        <f aca="false">SUM(N94:P94)</f>
        <v>0</v>
      </c>
    </row>
    <row r="95" customFormat="false" ht="12.75" hidden="true" customHeight="true" outlineLevel="0" collapsed="false">
      <c r="A95" s="77" t="n">
        <v>84</v>
      </c>
      <c r="B95" s="77"/>
      <c r="C95" s="79" t="n">
        <f aca="false">C93</f>
        <v>22</v>
      </c>
      <c r="D95" s="79"/>
      <c r="E95" s="80" t="n">
        <f aca="false">E94</f>
        <v>4</v>
      </c>
      <c r="F95" s="80" t="n">
        <f aca="false">F94</f>
        <v>4</v>
      </c>
      <c r="G95" s="85"/>
      <c r="H95" s="77"/>
      <c r="I95" s="77"/>
      <c r="J95" s="77"/>
      <c r="K95" s="77"/>
      <c r="L95" s="77"/>
      <c r="N95" s="82" t="n">
        <f aca="false">((C95*G95*J95)/$D$3)+M95</f>
        <v>0</v>
      </c>
      <c r="O95" s="82" t="n">
        <f aca="false">((E95*H95*K95)/$D$3)</f>
        <v>0</v>
      </c>
      <c r="P95" s="82" t="n">
        <f aca="false">((F95*I95*L95)/$D$3)</f>
        <v>0</v>
      </c>
      <c r="Q95" s="82" t="n">
        <f aca="false">SUM(N95:P95)</f>
        <v>0</v>
      </c>
    </row>
    <row r="96" customFormat="false" ht="12.75" hidden="true" customHeight="true" outlineLevel="0" collapsed="false">
      <c r="A96" s="77" t="n">
        <v>85</v>
      </c>
      <c r="B96" s="77"/>
      <c r="C96" s="79" t="n">
        <f aca="false">C94</f>
        <v>22</v>
      </c>
      <c r="D96" s="79"/>
      <c r="E96" s="80" t="n">
        <f aca="false">E95</f>
        <v>4</v>
      </c>
      <c r="F96" s="80" t="n">
        <f aca="false">F95</f>
        <v>4</v>
      </c>
      <c r="G96" s="85"/>
      <c r="H96" s="77"/>
      <c r="I96" s="77"/>
      <c r="J96" s="77"/>
      <c r="K96" s="77"/>
      <c r="L96" s="77"/>
      <c r="N96" s="82" t="n">
        <f aca="false">((C96*G96*J96)/$D$3)+M96</f>
        <v>0</v>
      </c>
      <c r="O96" s="82" t="n">
        <f aca="false">((E96*H96*K96)/$D$3)</f>
        <v>0</v>
      </c>
      <c r="P96" s="82" t="n">
        <f aca="false">((F96*I96*L96)/$D$3)</f>
        <v>0</v>
      </c>
      <c r="Q96" s="82" t="n">
        <f aca="false">SUM(N96:P96)</f>
        <v>0</v>
      </c>
    </row>
    <row r="97" customFormat="false" ht="12.75" hidden="true" customHeight="true" outlineLevel="0" collapsed="false">
      <c r="A97" s="77" t="n">
        <v>86</v>
      </c>
      <c r="B97" s="77"/>
      <c r="C97" s="79" t="n">
        <f aca="false">C95</f>
        <v>22</v>
      </c>
      <c r="D97" s="79"/>
      <c r="E97" s="80" t="n">
        <f aca="false">E96</f>
        <v>4</v>
      </c>
      <c r="F97" s="80" t="n">
        <f aca="false">F96</f>
        <v>4</v>
      </c>
      <c r="G97" s="85"/>
      <c r="H97" s="77"/>
      <c r="I97" s="77"/>
      <c r="J97" s="77"/>
      <c r="K97" s="77"/>
      <c r="L97" s="77"/>
      <c r="N97" s="82" t="n">
        <f aca="false">((C97*G97*J97)/$D$3)+M97</f>
        <v>0</v>
      </c>
      <c r="O97" s="82" t="n">
        <f aca="false">((E97*H97*K97)/$D$3)</f>
        <v>0</v>
      </c>
      <c r="P97" s="82" t="n">
        <f aca="false">((F97*I97*L97)/$D$3)</f>
        <v>0</v>
      </c>
      <c r="Q97" s="82" t="n">
        <f aca="false">SUM(N97:P97)</f>
        <v>0</v>
      </c>
    </row>
    <row r="98" customFormat="false" ht="12.75" hidden="true" customHeight="true" outlineLevel="0" collapsed="false">
      <c r="A98" s="77" t="n">
        <v>87</v>
      </c>
      <c r="B98" s="77"/>
      <c r="C98" s="79" t="n">
        <f aca="false">C96</f>
        <v>22</v>
      </c>
      <c r="D98" s="79"/>
      <c r="E98" s="80" t="n">
        <f aca="false">E97</f>
        <v>4</v>
      </c>
      <c r="F98" s="80" t="n">
        <f aca="false">F97</f>
        <v>4</v>
      </c>
      <c r="G98" s="85"/>
      <c r="H98" s="77"/>
      <c r="I98" s="77"/>
      <c r="J98" s="77"/>
      <c r="K98" s="77"/>
      <c r="L98" s="77"/>
      <c r="N98" s="82" t="n">
        <f aca="false">((C98*G98*J98)/$D$3)+M98</f>
        <v>0</v>
      </c>
      <c r="O98" s="82" t="n">
        <f aca="false">((E98*H98*K98)/$D$3)</f>
        <v>0</v>
      </c>
      <c r="P98" s="82" t="n">
        <f aca="false">((F98*I98*L98)/$D$3)</f>
        <v>0</v>
      </c>
      <c r="Q98" s="82" t="n">
        <f aca="false">SUM(N98:P98)</f>
        <v>0</v>
      </c>
    </row>
    <row r="99" customFormat="false" ht="12.75" hidden="true" customHeight="true" outlineLevel="0" collapsed="false">
      <c r="A99" s="77" t="n">
        <v>88</v>
      </c>
      <c r="B99" s="77"/>
      <c r="C99" s="79" t="n">
        <f aca="false">C97</f>
        <v>22</v>
      </c>
      <c r="D99" s="79"/>
      <c r="E99" s="80" t="n">
        <f aca="false">E98</f>
        <v>4</v>
      </c>
      <c r="F99" s="80" t="n">
        <f aca="false">F98</f>
        <v>4</v>
      </c>
      <c r="G99" s="85"/>
      <c r="H99" s="77"/>
      <c r="I99" s="77"/>
      <c r="J99" s="77"/>
      <c r="K99" s="77"/>
      <c r="L99" s="77"/>
      <c r="N99" s="82" t="n">
        <f aca="false">((C99*G99*J99)/$D$3)+M99</f>
        <v>0</v>
      </c>
      <c r="O99" s="82" t="n">
        <f aca="false">((E99*H99*K99)/$D$3)</f>
        <v>0</v>
      </c>
      <c r="P99" s="82" t="n">
        <f aca="false">((F99*I99*L99)/$D$3)</f>
        <v>0</v>
      </c>
      <c r="Q99" s="82" t="n">
        <f aca="false">SUM(N99:P99)</f>
        <v>0</v>
      </c>
    </row>
    <row r="100" customFormat="false" ht="12.75" hidden="true" customHeight="true" outlineLevel="0" collapsed="false">
      <c r="A100" s="77" t="n">
        <v>89</v>
      </c>
      <c r="B100" s="77"/>
      <c r="C100" s="79" t="n">
        <f aca="false">C98</f>
        <v>22</v>
      </c>
      <c r="D100" s="79"/>
      <c r="E100" s="80" t="n">
        <f aca="false">E99</f>
        <v>4</v>
      </c>
      <c r="F100" s="80" t="n">
        <f aca="false">F99</f>
        <v>4</v>
      </c>
      <c r="G100" s="85"/>
      <c r="H100" s="77"/>
      <c r="I100" s="77"/>
      <c r="J100" s="77"/>
      <c r="K100" s="77"/>
      <c r="L100" s="77"/>
      <c r="N100" s="82" t="n">
        <f aca="false">((C100*G100*J100)/$D$3)+M100</f>
        <v>0</v>
      </c>
      <c r="O100" s="82" t="n">
        <f aca="false">((E100*H100*K100)/$D$3)</f>
        <v>0</v>
      </c>
      <c r="P100" s="82" t="n">
        <f aca="false">((F100*I100*L100)/$D$3)</f>
        <v>0</v>
      </c>
      <c r="Q100" s="82" t="n">
        <f aca="false">SUM(N100:P100)</f>
        <v>0</v>
      </c>
    </row>
    <row r="101" customFormat="false" ht="12.75" hidden="true" customHeight="true" outlineLevel="0" collapsed="false">
      <c r="A101" s="77" t="n">
        <v>90</v>
      </c>
      <c r="B101" s="77"/>
      <c r="C101" s="79" t="n">
        <f aca="false">C99</f>
        <v>22</v>
      </c>
      <c r="D101" s="79"/>
      <c r="E101" s="80" t="n">
        <f aca="false">E100</f>
        <v>4</v>
      </c>
      <c r="F101" s="80" t="n">
        <f aca="false">F100</f>
        <v>4</v>
      </c>
      <c r="G101" s="85"/>
      <c r="H101" s="77"/>
      <c r="I101" s="77"/>
      <c r="J101" s="77"/>
      <c r="K101" s="77"/>
      <c r="L101" s="77"/>
      <c r="N101" s="82" t="n">
        <f aca="false">((C101*G101*J101)/$D$3)+M101</f>
        <v>0</v>
      </c>
      <c r="O101" s="82" t="n">
        <f aca="false">((E101*H101*K101)/$D$3)</f>
        <v>0</v>
      </c>
      <c r="P101" s="82" t="n">
        <f aca="false">((F101*I101*L101)/$D$3)</f>
        <v>0</v>
      </c>
      <c r="Q101" s="82" t="n">
        <f aca="false">SUM(N101:P101)</f>
        <v>0</v>
      </c>
    </row>
    <row r="102" customFormat="false" ht="12.75" hidden="true" customHeight="true" outlineLevel="0" collapsed="false">
      <c r="A102" s="77" t="n">
        <v>91</v>
      </c>
      <c r="B102" s="77"/>
      <c r="C102" s="79" t="n">
        <f aca="false">C100</f>
        <v>22</v>
      </c>
      <c r="D102" s="79"/>
      <c r="E102" s="80" t="n">
        <f aca="false">E101</f>
        <v>4</v>
      </c>
      <c r="F102" s="80" t="n">
        <f aca="false">F101</f>
        <v>4</v>
      </c>
      <c r="G102" s="85"/>
      <c r="H102" s="77"/>
      <c r="I102" s="77"/>
      <c r="J102" s="77"/>
      <c r="K102" s="77"/>
      <c r="L102" s="77"/>
      <c r="N102" s="82" t="n">
        <f aca="false">((C102*G102*J102)/$D$3)+M102</f>
        <v>0</v>
      </c>
      <c r="O102" s="82" t="n">
        <f aca="false">((E102*H102*K102)/$D$3)</f>
        <v>0</v>
      </c>
      <c r="P102" s="82" t="n">
        <f aca="false">((F102*I102*L102)/$D$3)</f>
        <v>0</v>
      </c>
      <c r="Q102" s="82" t="n">
        <f aca="false">SUM(N102:P102)</f>
        <v>0</v>
      </c>
    </row>
    <row r="103" customFormat="false" ht="12.75" hidden="true" customHeight="true" outlineLevel="0" collapsed="false">
      <c r="A103" s="77" t="n">
        <v>92</v>
      </c>
      <c r="B103" s="77"/>
      <c r="C103" s="79" t="n">
        <f aca="false">C101</f>
        <v>22</v>
      </c>
      <c r="D103" s="79"/>
      <c r="E103" s="80" t="n">
        <f aca="false">E102</f>
        <v>4</v>
      </c>
      <c r="F103" s="80" t="n">
        <f aca="false">F102</f>
        <v>4</v>
      </c>
      <c r="G103" s="85"/>
      <c r="H103" s="77"/>
      <c r="I103" s="77"/>
      <c r="J103" s="77"/>
      <c r="K103" s="77"/>
      <c r="L103" s="77"/>
      <c r="N103" s="82" t="n">
        <f aca="false">((C103*G103*J103)/$D$3)+M103</f>
        <v>0</v>
      </c>
      <c r="O103" s="82" t="n">
        <f aca="false">((E103*H103*K103)/$D$3)</f>
        <v>0</v>
      </c>
      <c r="P103" s="82" t="n">
        <f aca="false">((F103*I103*L103)/$D$3)</f>
        <v>0</v>
      </c>
      <c r="Q103" s="82" t="n">
        <f aca="false">SUM(N103:P103)</f>
        <v>0</v>
      </c>
    </row>
    <row r="104" customFormat="false" ht="12.75" hidden="true" customHeight="true" outlineLevel="0" collapsed="false">
      <c r="A104" s="77" t="n">
        <v>93</v>
      </c>
      <c r="B104" s="77"/>
      <c r="C104" s="79" t="n">
        <f aca="false">C102</f>
        <v>22</v>
      </c>
      <c r="D104" s="79"/>
      <c r="E104" s="80" t="n">
        <f aca="false">E103</f>
        <v>4</v>
      </c>
      <c r="F104" s="80" t="n">
        <f aca="false">F103</f>
        <v>4</v>
      </c>
      <c r="G104" s="85"/>
      <c r="H104" s="77"/>
      <c r="I104" s="77"/>
      <c r="J104" s="77"/>
      <c r="K104" s="77"/>
      <c r="L104" s="77"/>
      <c r="N104" s="82" t="n">
        <f aca="false">((C104*G104*J104)/$D$3)+M104</f>
        <v>0</v>
      </c>
      <c r="O104" s="82" t="n">
        <f aca="false">((E104*H104*K104)/$D$3)</f>
        <v>0</v>
      </c>
      <c r="P104" s="82" t="n">
        <f aca="false">((F104*I104*L104)/$D$3)</f>
        <v>0</v>
      </c>
      <c r="Q104" s="82" t="n">
        <f aca="false">SUM(N104:P104)</f>
        <v>0</v>
      </c>
    </row>
    <row r="105" customFormat="false" ht="12.75" hidden="true" customHeight="true" outlineLevel="0" collapsed="false">
      <c r="A105" s="77" t="n">
        <v>94</v>
      </c>
      <c r="B105" s="77"/>
      <c r="C105" s="79" t="n">
        <f aca="false">C103</f>
        <v>22</v>
      </c>
      <c r="D105" s="79"/>
      <c r="E105" s="80" t="n">
        <f aca="false">E104</f>
        <v>4</v>
      </c>
      <c r="F105" s="80" t="n">
        <f aca="false">F104</f>
        <v>4</v>
      </c>
      <c r="G105" s="85"/>
      <c r="H105" s="77"/>
      <c r="I105" s="77"/>
      <c r="J105" s="77"/>
      <c r="K105" s="77"/>
      <c r="L105" s="77"/>
      <c r="N105" s="82" t="n">
        <f aca="false">((C105*G105*J105)/$D$3)+M105</f>
        <v>0</v>
      </c>
      <c r="O105" s="82" t="n">
        <f aca="false">((E105*H105*K105)/$D$3)</f>
        <v>0</v>
      </c>
      <c r="P105" s="82" t="n">
        <f aca="false">((F105*I105*L105)/$D$3)</f>
        <v>0</v>
      </c>
      <c r="Q105" s="82" t="n">
        <f aca="false">SUM(N105:P105)</f>
        <v>0</v>
      </c>
    </row>
    <row r="106" customFormat="false" ht="12.75" hidden="true" customHeight="true" outlineLevel="0" collapsed="false">
      <c r="A106" s="77" t="n">
        <v>95</v>
      </c>
      <c r="B106" s="77"/>
      <c r="C106" s="79" t="n">
        <f aca="false">C104</f>
        <v>22</v>
      </c>
      <c r="D106" s="79"/>
      <c r="E106" s="80" t="n">
        <f aca="false">E105</f>
        <v>4</v>
      </c>
      <c r="F106" s="80" t="n">
        <f aca="false">F105</f>
        <v>4</v>
      </c>
      <c r="G106" s="85"/>
      <c r="H106" s="77"/>
      <c r="I106" s="77"/>
      <c r="J106" s="77"/>
      <c r="K106" s="77"/>
      <c r="L106" s="77"/>
      <c r="N106" s="82" t="n">
        <f aca="false">((C106*G106*J106)/$D$3)+M106</f>
        <v>0</v>
      </c>
      <c r="O106" s="82" t="n">
        <f aca="false">((E106*H106*K106)/$D$3)</f>
        <v>0</v>
      </c>
      <c r="P106" s="82" t="n">
        <f aca="false">((F106*I106*L106)/$D$3)</f>
        <v>0</v>
      </c>
      <c r="Q106" s="82" t="n">
        <f aca="false">SUM(N106:P106)</f>
        <v>0</v>
      </c>
    </row>
    <row r="107" customFormat="false" ht="12.75" hidden="true" customHeight="true" outlineLevel="0" collapsed="false">
      <c r="A107" s="77" t="n">
        <v>96</v>
      </c>
      <c r="B107" s="77"/>
      <c r="C107" s="79" t="n">
        <f aca="false">C105</f>
        <v>22</v>
      </c>
      <c r="D107" s="79"/>
      <c r="E107" s="80" t="n">
        <f aca="false">E106</f>
        <v>4</v>
      </c>
      <c r="F107" s="80" t="n">
        <f aca="false">F106</f>
        <v>4</v>
      </c>
      <c r="G107" s="85"/>
      <c r="H107" s="77"/>
      <c r="I107" s="77"/>
      <c r="J107" s="77"/>
      <c r="K107" s="77"/>
      <c r="L107" s="77"/>
      <c r="N107" s="82" t="n">
        <f aca="false">((C107*G107*J107)/$D$3)+M107</f>
        <v>0</v>
      </c>
      <c r="O107" s="82" t="n">
        <f aca="false">((E107*H107*K107)/$D$3)</f>
        <v>0</v>
      </c>
      <c r="P107" s="82" t="n">
        <f aca="false">((F107*I107*L107)/$D$3)</f>
        <v>0</v>
      </c>
      <c r="Q107" s="82" t="n">
        <f aca="false">SUM(N107:P107)</f>
        <v>0</v>
      </c>
    </row>
    <row r="108" customFormat="false" ht="12.75" hidden="true" customHeight="true" outlineLevel="0" collapsed="false">
      <c r="A108" s="77" t="n">
        <v>97</v>
      </c>
      <c r="B108" s="77"/>
      <c r="C108" s="79" t="n">
        <f aca="false">C106</f>
        <v>22</v>
      </c>
      <c r="D108" s="79"/>
      <c r="E108" s="80" t="n">
        <f aca="false">E107</f>
        <v>4</v>
      </c>
      <c r="F108" s="80" t="n">
        <f aca="false">F107</f>
        <v>4</v>
      </c>
      <c r="G108" s="85"/>
      <c r="H108" s="77"/>
      <c r="I108" s="77"/>
      <c r="J108" s="77"/>
      <c r="K108" s="77"/>
      <c r="L108" s="77"/>
      <c r="N108" s="82" t="n">
        <f aca="false">((C108*G108*J108)/$D$3)+M108</f>
        <v>0</v>
      </c>
      <c r="O108" s="82" t="n">
        <f aca="false">((E108*H108*K108)/$D$3)</f>
        <v>0</v>
      </c>
      <c r="P108" s="82" t="n">
        <f aca="false">((F108*I108*L108)/$D$3)</f>
        <v>0</v>
      </c>
      <c r="Q108" s="82" t="n">
        <f aca="false">SUM(N108:P108)</f>
        <v>0</v>
      </c>
    </row>
    <row r="109" customFormat="false" ht="12.75" hidden="true" customHeight="true" outlineLevel="0" collapsed="false">
      <c r="A109" s="77" t="n">
        <v>98</v>
      </c>
      <c r="B109" s="77"/>
      <c r="C109" s="79" t="n">
        <f aca="false">C107</f>
        <v>22</v>
      </c>
      <c r="D109" s="79"/>
      <c r="E109" s="80" t="n">
        <f aca="false">E108</f>
        <v>4</v>
      </c>
      <c r="F109" s="80" t="n">
        <f aca="false">F108</f>
        <v>4</v>
      </c>
      <c r="G109" s="85"/>
      <c r="H109" s="77"/>
      <c r="I109" s="77"/>
      <c r="J109" s="77"/>
      <c r="K109" s="77"/>
      <c r="L109" s="77"/>
      <c r="N109" s="82" t="n">
        <f aca="false">((C109*G109*J109)/$D$3)+M109</f>
        <v>0</v>
      </c>
      <c r="O109" s="82" t="n">
        <f aca="false">((E109*H109*K109)/$D$3)</f>
        <v>0</v>
      </c>
      <c r="P109" s="82" t="n">
        <f aca="false">((F109*I109*L109)/$D$3)</f>
        <v>0</v>
      </c>
      <c r="Q109" s="82" t="n">
        <f aca="false">SUM(N109:P109)</f>
        <v>0</v>
      </c>
    </row>
    <row r="110" customFormat="false" ht="12.75" hidden="true" customHeight="true" outlineLevel="0" collapsed="false">
      <c r="A110" s="77" t="n">
        <v>99</v>
      </c>
      <c r="B110" s="77"/>
      <c r="C110" s="79" t="n">
        <f aca="false">C108</f>
        <v>22</v>
      </c>
      <c r="D110" s="79"/>
      <c r="E110" s="80" t="n">
        <f aca="false">E109</f>
        <v>4</v>
      </c>
      <c r="F110" s="80" t="n">
        <f aca="false">F109</f>
        <v>4</v>
      </c>
      <c r="G110" s="85"/>
      <c r="H110" s="77"/>
      <c r="I110" s="77"/>
      <c r="J110" s="77"/>
      <c r="K110" s="77"/>
      <c r="L110" s="77"/>
      <c r="N110" s="82" t="n">
        <f aca="false">((C110*G110*J110)/$D$3)+M110</f>
        <v>0</v>
      </c>
      <c r="O110" s="82" t="n">
        <f aca="false">((E110*H110*K110)/$D$3)</f>
        <v>0</v>
      </c>
      <c r="P110" s="82" t="n">
        <f aca="false">((F110*I110*L110)/$D$3)</f>
        <v>0</v>
      </c>
      <c r="Q110" s="82" t="n">
        <f aca="false">SUM(N110:P110)</f>
        <v>0</v>
      </c>
    </row>
    <row r="111" customFormat="false" ht="12.75" hidden="true" customHeight="false" outlineLevel="0" collapsed="false">
      <c r="A111" s="77" t="n">
        <v>100</v>
      </c>
      <c r="B111" s="77"/>
      <c r="C111" s="77"/>
      <c r="D111" s="77"/>
      <c r="E111" s="77"/>
      <c r="F111" s="77"/>
      <c r="G111" s="85"/>
      <c r="H111" s="77"/>
      <c r="I111" s="77"/>
      <c r="J111" s="77"/>
      <c r="K111" s="77"/>
      <c r="L111" s="77"/>
      <c r="N111" s="82" t="n">
        <f aca="false">((C111*G111*J111)/$D$3)+M111</f>
        <v>0</v>
      </c>
      <c r="O111" s="82" t="e">
        <f aca="false">((E111*H111*K111)/$D$3)+#REF!</f>
        <v>#REF!</v>
      </c>
      <c r="P111" s="82" t="e">
        <f aca="false">((F111*I111*L111)/$D$3)+#REF!</f>
        <v>#REF!</v>
      </c>
      <c r="Q111" s="82" t="e">
        <f aca="false">SUM(N111:P111)</f>
        <v>#REF!</v>
      </c>
    </row>
    <row r="112" customFormat="false" ht="15.75" hidden="false" customHeight="false" outlineLevel="0" collapsed="false">
      <c r="N112" s="86" t="s">
        <v>104</v>
      </c>
      <c r="O112" s="86"/>
      <c r="P112" s="86"/>
      <c r="Q112" s="82" t="n">
        <f aca="false">SUM(Q16:Q110)</f>
        <v>55993.4</v>
      </c>
    </row>
    <row r="114" customFormat="false" ht="12.75" hidden="false" customHeight="false" outlineLevel="0" collapsed="false">
      <c r="P114" s="87"/>
    </row>
  </sheetData>
  <mergeCells count="114">
    <mergeCell ref="A1:L1"/>
    <mergeCell ref="K2:M2"/>
    <mergeCell ref="B3:C3"/>
    <mergeCell ref="B6:C6"/>
    <mergeCell ref="B7:C7"/>
    <mergeCell ref="B10:C10"/>
    <mergeCell ref="A13:A15"/>
    <mergeCell ref="B13:B15"/>
    <mergeCell ref="C13:F13"/>
    <mergeCell ref="G13:I13"/>
    <mergeCell ref="J13:L13"/>
    <mergeCell ref="N13:Q13"/>
    <mergeCell ref="C14:F14"/>
    <mergeCell ref="G14:I14"/>
    <mergeCell ref="J14:L14"/>
    <mergeCell ref="N14:Q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N112:P112"/>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9" activeCellId="0" sqref="F9"/>
    </sheetView>
  </sheetViews>
  <sheetFormatPr defaultColWidth="8.6875" defaultRowHeight="12.75" zeroHeight="false" outlineLevelRow="0" outlineLevelCol="0"/>
  <cols>
    <col collapsed="false" customWidth="true" hidden="false" outlineLevel="0" max="6" min="1" style="0" width="9.14"/>
    <col collapsed="false" customWidth="true" hidden="false" outlineLevel="0" max="7" min="7" style="0" width="5.14"/>
    <col collapsed="false" customWidth="true" hidden="false" outlineLevel="0" max="8" min="8" style="0" width="9.14"/>
    <col collapsed="false" customWidth="true" hidden="false" outlineLevel="0" max="9" min="9" style="0" width="12.29"/>
    <col collapsed="false" customWidth="true" hidden="false" outlineLevel="0" max="10" min="10" style="0" width="10.14"/>
  </cols>
  <sheetData>
    <row r="1" customFormat="false" ht="15" hidden="false" customHeight="false" outlineLevel="0" collapsed="false">
      <c r="A1" s="36" t="s">
        <v>620</v>
      </c>
    </row>
    <row r="3" s="12" customFormat="true" ht="15" hidden="false" customHeight="false" outlineLevel="0" collapsed="false">
      <c r="A3" s="104" t="s">
        <v>621</v>
      </c>
      <c r="B3" s="48" t="s">
        <v>622</v>
      </c>
    </row>
    <row r="4" s="12" customFormat="true" ht="15.75" hidden="false" customHeight="false" outlineLevel="0" collapsed="false">
      <c r="A4" s="48"/>
      <c r="B4" s="48"/>
    </row>
    <row r="5" s="12" customFormat="true" ht="16.5" hidden="false" customHeight="true" outlineLevel="0" collapsed="false">
      <c r="B5" s="331" t="s">
        <v>623</v>
      </c>
      <c r="C5" s="332"/>
      <c r="D5" s="332"/>
      <c r="E5" s="333"/>
      <c r="F5" s="334" t="s">
        <v>624</v>
      </c>
      <c r="H5" s="59" t="s">
        <v>16</v>
      </c>
      <c r="I5" s="335"/>
      <c r="J5" s="335"/>
      <c r="K5" s="336"/>
    </row>
    <row r="6" s="12" customFormat="true" ht="15.75" hidden="false" customHeight="true" outlineLevel="0" collapsed="false">
      <c r="B6" s="331" t="s">
        <v>625</v>
      </c>
      <c r="C6" s="332"/>
      <c r="D6" s="332"/>
      <c r="E6" s="333"/>
      <c r="F6" s="337"/>
      <c r="H6" s="17"/>
      <c r="I6" s="18"/>
      <c r="J6" s="18"/>
      <c r="K6" s="19"/>
    </row>
    <row r="7" s="12" customFormat="true" ht="15.75" hidden="false" customHeight="true" outlineLevel="0" collapsed="false">
      <c r="B7" s="338" t="s">
        <v>626</v>
      </c>
      <c r="C7" s="339"/>
      <c r="D7" s="339"/>
      <c r="E7" s="340"/>
      <c r="F7" s="341" t="n">
        <v>0.06</v>
      </c>
      <c r="H7" s="20"/>
      <c r="I7" s="21"/>
      <c r="J7" s="22" t="s">
        <v>18</v>
      </c>
      <c r="K7" s="23"/>
    </row>
    <row r="8" s="12" customFormat="true" ht="15" hidden="false" customHeight="true" outlineLevel="0" collapsed="false">
      <c r="B8" s="338" t="s">
        <v>627</v>
      </c>
      <c r="C8" s="339"/>
      <c r="D8" s="339"/>
      <c r="E8" s="340"/>
      <c r="F8" s="341" t="n">
        <v>0.07</v>
      </c>
      <c r="H8" s="20"/>
      <c r="I8" s="27"/>
      <c r="J8" s="22" t="s">
        <v>20</v>
      </c>
      <c r="K8" s="23"/>
    </row>
    <row r="9" s="12" customFormat="true" ht="15.75" hidden="false" customHeight="false" outlineLevel="0" collapsed="false">
      <c r="B9" s="338" t="s">
        <v>628</v>
      </c>
      <c r="C9" s="339"/>
      <c r="D9" s="339"/>
      <c r="E9" s="340"/>
      <c r="F9" s="341" t="n">
        <v>0.08</v>
      </c>
      <c r="H9" s="20"/>
      <c r="I9" s="28"/>
      <c r="J9" s="22" t="s">
        <v>22</v>
      </c>
      <c r="K9" s="23"/>
    </row>
    <row r="10" s="12" customFormat="true" ht="16.5" hidden="false" customHeight="false" outlineLevel="0" collapsed="false">
      <c r="B10" s="338" t="s">
        <v>629</v>
      </c>
      <c r="C10" s="339"/>
      <c r="D10" s="339"/>
      <c r="E10" s="340"/>
      <c r="F10" s="341" t="n">
        <v>0.09</v>
      </c>
      <c r="H10" s="29"/>
      <c r="I10" s="30"/>
      <c r="J10" s="30"/>
      <c r="K10" s="31"/>
    </row>
    <row r="11" s="12" customFormat="true" ht="15.75" hidden="false" customHeight="false" outlineLevel="0" collapsed="false">
      <c r="B11" s="338" t="s">
        <v>630</v>
      </c>
      <c r="C11" s="339"/>
      <c r="D11" s="339"/>
      <c r="E11" s="340"/>
      <c r="F11" s="341" t="n">
        <v>0.1</v>
      </c>
    </row>
    <row r="12" customFormat="false" ht="15.75" hidden="false" customHeight="false" outlineLevel="0" collapsed="false">
      <c r="B12" s="342" t="s">
        <v>631</v>
      </c>
      <c r="C12" s="342"/>
      <c r="D12" s="342"/>
      <c r="E12" s="342"/>
      <c r="F12" s="341" t="n">
        <v>0.12</v>
      </c>
    </row>
  </sheetData>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cols>
    <col collapsed="false" customWidth="true" hidden="false" outlineLevel="0" max="1" min="1" style="0" width="6.71"/>
    <col collapsed="false" customWidth="true" hidden="false" outlineLevel="0" max="4" min="2" style="0" width="9.14"/>
    <col collapsed="false" customWidth="true" hidden="false" outlineLevel="0" max="5" min="5" style="0" width="12.42"/>
    <col collapsed="false" customWidth="true" hidden="false" outlineLevel="0" max="6" min="6" style="0" width="17.86"/>
    <col collapsed="false" customWidth="true" hidden="false" outlineLevel="0" max="7" min="7" style="0" width="9.14"/>
    <col collapsed="false" customWidth="true" hidden="false" outlineLevel="0" max="8" min="8" style="0" width="1.58"/>
    <col collapsed="false" customWidth="true" hidden="false" outlineLevel="0" max="9" min="9" style="0" width="9.14"/>
    <col collapsed="false" customWidth="true" hidden="false" outlineLevel="0" max="10" min="10" style="0" width="38.7"/>
    <col collapsed="false" customWidth="true" hidden="false" outlineLevel="0" max="11" min="11" style="0" width="0.86"/>
  </cols>
  <sheetData>
    <row r="1" customFormat="false" ht="12.75" hidden="false" customHeight="false" outlineLevel="0" collapsed="false">
      <c r="A1" s="114" t="s">
        <v>632</v>
      </c>
    </row>
    <row r="3" s="12" customFormat="true" ht="15" hidden="false" customHeight="false" outlineLevel="0" collapsed="false">
      <c r="A3" s="104" t="s">
        <v>633</v>
      </c>
      <c r="B3" s="48" t="s">
        <v>634</v>
      </c>
    </row>
    <row r="4" s="12" customFormat="true" ht="15.75" hidden="false" customHeight="false" outlineLevel="0" collapsed="false">
      <c r="A4" s="48"/>
      <c r="B4" s="48"/>
    </row>
    <row r="5" s="12" customFormat="true" ht="16.5" hidden="false" customHeight="true" outlineLevel="0" collapsed="false">
      <c r="A5" s="314" t="s">
        <v>635</v>
      </c>
      <c r="B5" s="314"/>
      <c r="C5" s="314"/>
      <c r="D5" s="314"/>
      <c r="E5" s="343" t="s">
        <v>636</v>
      </c>
      <c r="F5" s="343" t="s">
        <v>637</v>
      </c>
      <c r="H5" s="15" t="s">
        <v>16</v>
      </c>
      <c r="I5" s="15"/>
      <c r="J5" s="15"/>
      <c r="K5" s="15"/>
    </row>
    <row r="6" s="12" customFormat="true" ht="15.75" hidden="false" customHeight="true" outlineLevel="0" collapsed="false">
      <c r="A6" s="314"/>
      <c r="B6" s="314"/>
      <c r="C6" s="314"/>
      <c r="D6" s="314"/>
      <c r="E6" s="344" t="n">
        <v>0.01</v>
      </c>
      <c r="F6" s="316" t="n">
        <v>0.0015</v>
      </c>
      <c r="H6" s="17"/>
      <c r="I6" s="18"/>
      <c r="J6" s="18"/>
      <c r="K6" s="19"/>
    </row>
    <row r="7" s="12" customFormat="true" ht="15.75" hidden="false" customHeight="true" outlineLevel="0" collapsed="false">
      <c r="A7" s="48"/>
      <c r="B7" s="48"/>
      <c r="C7" s="48"/>
      <c r="D7" s="48"/>
      <c r="H7" s="20"/>
      <c r="I7" s="21"/>
      <c r="J7" s="22" t="s">
        <v>18</v>
      </c>
      <c r="K7" s="23"/>
    </row>
    <row r="8" s="12" customFormat="true" ht="15" hidden="false" customHeight="true" outlineLevel="0" collapsed="false">
      <c r="H8" s="20"/>
      <c r="I8" s="27"/>
      <c r="J8" s="22" t="s">
        <v>20</v>
      </c>
      <c r="K8" s="23"/>
    </row>
    <row r="9" s="12" customFormat="true" ht="15" hidden="false" customHeight="false" outlineLevel="0" collapsed="false">
      <c r="H9" s="20"/>
      <c r="I9" s="28"/>
      <c r="J9" s="22" t="s">
        <v>22</v>
      </c>
      <c r="K9" s="23"/>
    </row>
    <row r="10" s="12" customFormat="true" ht="15.75" hidden="false" customHeight="false" outlineLevel="0" collapsed="false">
      <c r="H10" s="29"/>
      <c r="I10" s="30"/>
      <c r="J10" s="30"/>
      <c r="K10" s="31"/>
    </row>
    <row r="11" s="12" customFormat="true" ht="15" hidden="false" customHeight="false" outlineLevel="0" collapsed="false"/>
  </sheetData>
  <mergeCells count="2">
    <mergeCell ref="A5:D6"/>
    <mergeCell ref="H5:K5"/>
  </mergeCells>
  <hyperlinks>
    <hyperlink ref="A1" location="'2.1.c Insumos'!A1" display="ANEXO VIII – CUSTOS AMBIENT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48"/>
  <sheetViews>
    <sheetView showFormulas="false" showGridLines="true" showRowColHeaders="true" showZeros="true" rightToLeft="false" tabSelected="false" showOutlineSymbols="true" defaultGridColor="true" view="normal" topLeftCell="A199" colorId="64" zoomScale="100" zoomScaleNormal="100" zoomScalePageLayoutView="100" workbookViewId="0">
      <selection pane="topLeft" activeCell="H63" activeCellId="0" sqref="H63"/>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9"/>
    <col collapsed="false" customWidth="true" hidden="false" outlineLevel="0" max="7" min="6" style="12" width="26.71"/>
    <col collapsed="false" customWidth="true" hidden="false" outlineLevel="0" max="9" min="8" style="12" width="26.85"/>
    <col collapsed="false" customWidth="true" hidden="false" outlineLevel="0" max="10" min="10" style="12" width="17.58"/>
    <col collapsed="false" customWidth="true" hidden="false" outlineLevel="0" max="11" min="11" style="12" width="4.43"/>
    <col collapsed="false" customWidth="false" hidden="false" outlineLevel="0" max="12" min="12" style="12" width="11.42"/>
    <col collapsed="false" customWidth="true" hidden="false" outlineLevel="0" max="13" min="13" style="12" width="42.57"/>
    <col collapsed="false" customWidth="true" hidden="false" outlineLevel="0" max="14" min="14" style="12" width="11.86"/>
    <col collapsed="false" customWidth="false" hidden="false" outlineLevel="0" max="1024" min="15" style="12" width="11.42"/>
  </cols>
  <sheetData>
    <row r="1" customFormat="false" ht="15" hidden="false" customHeight="false" outlineLevel="0" collapsed="false">
      <c r="A1" s="114" t="s">
        <v>638</v>
      </c>
    </row>
    <row r="3" customFormat="false" ht="15" hidden="false" customHeight="false" outlineLevel="0" collapsed="false">
      <c r="A3" s="48" t="s">
        <v>639</v>
      </c>
    </row>
    <row r="5" customFormat="false" ht="15.75" hidden="false" customHeight="false" outlineLevel="0" collapsed="false">
      <c r="A5" s="48" t="s">
        <v>640</v>
      </c>
      <c r="B5" s="48" t="s">
        <v>641</v>
      </c>
    </row>
    <row r="6" customFormat="false" ht="15.75" hidden="false" customHeight="false" outlineLevel="0" collapsed="false">
      <c r="A6" s="345" t="s">
        <v>153</v>
      </c>
      <c r="B6" s="345"/>
      <c r="C6" s="345"/>
      <c r="D6" s="345"/>
      <c r="E6" s="319" t="s">
        <v>642</v>
      </c>
      <c r="F6" s="345" t="s">
        <v>643</v>
      </c>
      <c r="K6" s="15" t="s">
        <v>16</v>
      </c>
      <c r="L6" s="15"/>
      <c r="M6" s="15"/>
      <c r="N6" s="15"/>
    </row>
    <row r="7" customFormat="false" ht="15" hidden="false" customHeight="false" outlineLevel="0" collapsed="false">
      <c r="A7" s="345"/>
      <c r="B7" s="345"/>
      <c r="C7" s="345"/>
      <c r="D7" s="345"/>
      <c r="E7" s="319"/>
      <c r="F7" s="345"/>
      <c r="K7" s="17"/>
      <c r="L7" s="18"/>
      <c r="M7" s="18"/>
      <c r="N7" s="19"/>
    </row>
    <row r="8" customFormat="false" ht="15" hidden="true" customHeight="true" outlineLevel="0" collapsed="false">
      <c r="A8" s="346" t="s">
        <v>125</v>
      </c>
      <c r="B8" s="346"/>
      <c r="C8" s="346"/>
      <c r="D8" s="346"/>
      <c r="E8" s="347" t="n">
        <v>5</v>
      </c>
      <c r="F8" s="348" t="n">
        <v>0.15</v>
      </c>
      <c r="G8" s="49"/>
      <c r="K8" s="20"/>
      <c r="L8" s="21"/>
      <c r="M8" s="22" t="s">
        <v>18</v>
      </c>
      <c r="N8" s="23"/>
    </row>
    <row r="9" customFormat="false" ht="15" hidden="true" customHeight="false" outlineLevel="0" collapsed="false">
      <c r="A9" s="346" t="s">
        <v>129</v>
      </c>
      <c r="B9" s="346"/>
      <c r="C9" s="346"/>
      <c r="D9" s="346"/>
      <c r="E9" s="347"/>
      <c r="F9" s="348"/>
      <c r="G9" s="49"/>
      <c r="K9" s="20"/>
      <c r="L9" s="27"/>
      <c r="M9" s="22" t="s">
        <v>20</v>
      </c>
      <c r="N9" s="23"/>
    </row>
    <row r="10" customFormat="false" ht="15" hidden="true" customHeight="true" outlineLevel="0" collapsed="false">
      <c r="A10" s="346" t="s">
        <v>133</v>
      </c>
      <c r="B10" s="346"/>
      <c r="C10" s="346"/>
      <c r="D10" s="346"/>
      <c r="E10" s="347" t="n">
        <v>8</v>
      </c>
      <c r="F10" s="348" t="n">
        <v>0.1</v>
      </c>
      <c r="G10" s="49"/>
      <c r="K10" s="20"/>
      <c r="L10" s="28"/>
      <c r="M10" s="22" t="s">
        <v>22</v>
      </c>
      <c r="N10" s="23"/>
    </row>
    <row r="11" customFormat="false" ht="15.75" hidden="false" customHeight="false" outlineLevel="0" collapsed="false">
      <c r="A11" s="346" t="s">
        <v>137</v>
      </c>
      <c r="B11" s="346"/>
      <c r="C11" s="346"/>
      <c r="D11" s="346"/>
      <c r="E11" s="347"/>
      <c r="F11" s="348"/>
      <c r="G11" s="49"/>
      <c r="K11" s="29"/>
      <c r="L11" s="30"/>
      <c r="M11" s="30"/>
      <c r="N11" s="31"/>
    </row>
    <row r="12" customFormat="false" ht="15" hidden="false" customHeight="true" outlineLevel="0" collapsed="false">
      <c r="A12" s="346" t="s">
        <v>141</v>
      </c>
      <c r="B12" s="346"/>
      <c r="C12" s="346"/>
      <c r="D12" s="346"/>
      <c r="E12" s="347" t="n">
        <v>10</v>
      </c>
      <c r="F12" s="349" t="n">
        <v>0.1</v>
      </c>
      <c r="G12" s="49"/>
    </row>
    <row r="13" customFormat="false" ht="15" hidden="true" customHeight="false" outlineLevel="0" collapsed="false">
      <c r="A13" s="346" t="s">
        <v>143</v>
      </c>
      <c r="B13" s="346"/>
      <c r="C13" s="346"/>
      <c r="D13" s="346"/>
      <c r="E13" s="347" t="n">
        <v>12</v>
      </c>
      <c r="F13" s="348" t="n">
        <v>0.05</v>
      </c>
      <c r="G13" s="49"/>
    </row>
    <row r="14" customFormat="false" ht="15" hidden="true" customHeight="false" outlineLevel="0" collapsed="false">
      <c r="A14" s="346" t="s">
        <v>147</v>
      </c>
      <c r="B14" s="346"/>
      <c r="C14" s="346"/>
      <c r="D14" s="346"/>
      <c r="E14" s="347"/>
      <c r="F14" s="348"/>
      <c r="G14" s="49"/>
    </row>
    <row r="15" customFormat="false" ht="15" hidden="false" customHeight="false" outlineLevel="0" collapsed="false">
      <c r="A15" s="350"/>
      <c r="B15" s="350"/>
      <c r="C15" s="350"/>
      <c r="D15" s="350"/>
      <c r="E15" s="351"/>
      <c r="F15" s="352"/>
      <c r="G15" s="353"/>
    </row>
    <row r="16" customFormat="false" ht="15" hidden="false" customHeight="false" outlineLevel="0" collapsed="false">
      <c r="A16" s="48" t="s">
        <v>644</v>
      </c>
      <c r="B16" s="48" t="s">
        <v>645</v>
      </c>
    </row>
    <row r="17" s="48" customFormat="true" ht="15" hidden="false" customHeight="true" outlineLevel="0" collapsed="false">
      <c r="A17" s="354" t="s">
        <v>646</v>
      </c>
      <c r="B17" s="354"/>
      <c r="C17" s="354"/>
      <c r="E17" s="354" t="s">
        <v>647</v>
      </c>
      <c r="F17" s="354" t="s">
        <v>648</v>
      </c>
      <c r="G17" s="355"/>
    </row>
    <row r="18" s="48" customFormat="true" ht="15" hidden="false" customHeight="true" outlineLevel="0" collapsed="false">
      <c r="A18" s="354"/>
      <c r="B18" s="354"/>
      <c r="C18" s="354"/>
      <c r="E18" s="354"/>
      <c r="F18" s="354"/>
      <c r="G18" s="355"/>
    </row>
    <row r="19" customFormat="false" ht="15" hidden="false" customHeight="true" outlineLevel="0" collapsed="false">
      <c r="A19" s="356" t="n">
        <v>0</v>
      </c>
      <c r="B19" s="357" t="s">
        <v>649</v>
      </c>
      <c r="C19" s="358" t="n">
        <v>1</v>
      </c>
      <c r="D19" s="48"/>
      <c r="E19" s="359" t="n">
        <f aca="false">(1-$F$10)*($E$10-C19+1)/36/12</f>
        <v>0.0166666666666667</v>
      </c>
      <c r="F19" s="359" t="n">
        <f aca="false">(1-$F$12)*($E$12-C19+1)/55/12</f>
        <v>0.0136363636363636</v>
      </c>
      <c r="G19" s="355"/>
      <c r="H19" s="48"/>
    </row>
    <row r="20" customFormat="false" ht="15" hidden="false" customHeight="true" outlineLevel="0" collapsed="false">
      <c r="A20" s="356" t="n">
        <v>1</v>
      </c>
      <c r="B20" s="357" t="s">
        <v>649</v>
      </c>
      <c r="C20" s="358" t="n">
        <v>2</v>
      </c>
      <c r="D20" s="48"/>
      <c r="E20" s="359" t="n">
        <f aca="false">(1-$F$10)*($E$10-C20+1)/36/12</f>
        <v>0.0145833333333333</v>
      </c>
      <c r="F20" s="359" t="n">
        <f aca="false">(1-$F$12)*($E$12-C20+1)/55/12</f>
        <v>0.0122727272727273</v>
      </c>
      <c r="G20" s="355"/>
      <c r="H20" s="48"/>
    </row>
    <row r="21" customFormat="false" ht="15" hidden="false" customHeight="true" outlineLevel="0" collapsed="false">
      <c r="A21" s="356" t="n">
        <v>2</v>
      </c>
      <c r="B21" s="357" t="s">
        <v>649</v>
      </c>
      <c r="C21" s="358" t="n">
        <v>3</v>
      </c>
      <c r="D21" s="48"/>
      <c r="E21" s="359" t="n">
        <f aca="false">(1-$F$10)*($E$10-C21+1)/36/12</f>
        <v>0.0125</v>
      </c>
      <c r="F21" s="359" t="n">
        <f aca="false">(1-$F$12)*($E$12-C21+1)/55/12</f>
        <v>0.0109090909090909</v>
      </c>
      <c r="G21" s="355"/>
      <c r="H21" s="48"/>
    </row>
    <row r="22" customFormat="false" ht="15" hidden="false" customHeight="true" outlineLevel="0" collapsed="false">
      <c r="A22" s="356" t="n">
        <v>3</v>
      </c>
      <c r="B22" s="357" t="s">
        <v>649</v>
      </c>
      <c r="C22" s="358" t="n">
        <v>4</v>
      </c>
      <c r="D22" s="48"/>
      <c r="E22" s="359" t="n">
        <f aca="false">(1-$F$10)*($E$10-C22+1)/36/12</f>
        <v>0.0104166666666667</v>
      </c>
      <c r="F22" s="359" t="n">
        <f aca="false">(1-$F$12)*($E$12-C22+1)/55/12</f>
        <v>0.00954545454545455</v>
      </c>
      <c r="G22" s="355"/>
      <c r="H22" s="48"/>
    </row>
    <row r="23" customFormat="false" ht="15" hidden="false" customHeight="true" outlineLevel="0" collapsed="false">
      <c r="A23" s="356" t="n">
        <v>4</v>
      </c>
      <c r="B23" s="357" t="s">
        <v>649</v>
      </c>
      <c r="C23" s="358" t="n">
        <v>5</v>
      </c>
      <c r="D23" s="48"/>
      <c r="E23" s="359" t="n">
        <f aca="false">(1-$F$10)*($E$10-C23+1)/36/12</f>
        <v>0.00833333333333333</v>
      </c>
      <c r="F23" s="359" t="n">
        <f aca="false">(1-$F$12)*($E$12-C23+1)/55/12</f>
        <v>0.00818181818181818</v>
      </c>
      <c r="G23" s="355"/>
      <c r="H23" s="48"/>
    </row>
    <row r="24" customFormat="false" ht="15" hidden="false" customHeight="true" outlineLevel="0" collapsed="false">
      <c r="A24" s="356" t="n">
        <v>5</v>
      </c>
      <c r="B24" s="357" t="s">
        <v>649</v>
      </c>
      <c r="C24" s="358" t="n">
        <v>6</v>
      </c>
      <c r="D24" s="48"/>
      <c r="E24" s="359" t="n">
        <f aca="false">(1-$F$10)*($E$10-C24+1)/36/12</f>
        <v>0.00625</v>
      </c>
      <c r="F24" s="359" t="n">
        <f aca="false">(1-$F$12)*($E$12-C24+1)/55/12</f>
        <v>0.00681818181818182</v>
      </c>
      <c r="G24" s="355"/>
      <c r="H24" s="48"/>
    </row>
    <row r="25" customFormat="false" ht="15" hidden="false" customHeight="true" outlineLevel="0" collapsed="false">
      <c r="A25" s="356" t="n">
        <v>6</v>
      </c>
      <c r="B25" s="357" t="s">
        <v>649</v>
      </c>
      <c r="C25" s="358" t="n">
        <v>7</v>
      </c>
      <c r="D25" s="48"/>
      <c r="E25" s="359" t="n">
        <f aca="false">(1-$F$10)*($E$10-C25+1)/36/12</f>
        <v>0.00416666666666667</v>
      </c>
      <c r="F25" s="359" t="n">
        <f aca="false">(1-$F$12)*($E$12-C25+1)/55/12</f>
        <v>0.00545454545454546</v>
      </c>
      <c r="G25" s="355"/>
      <c r="H25" s="48"/>
    </row>
    <row r="26" customFormat="false" ht="15" hidden="false" customHeight="true" outlineLevel="0" collapsed="false">
      <c r="A26" s="356" t="n">
        <v>7</v>
      </c>
      <c r="B26" s="357" t="s">
        <v>649</v>
      </c>
      <c r="C26" s="358" t="n">
        <v>8</v>
      </c>
      <c r="D26" s="48"/>
      <c r="E26" s="359" t="n">
        <f aca="false">(1-$F$10)*($E$10-C26+1)/36/12</f>
        <v>0.00208333333333333</v>
      </c>
      <c r="F26" s="359" t="n">
        <f aca="false">(1-$F$12)*($E$12-C26+1)/55/12</f>
        <v>0.00409090909090909</v>
      </c>
      <c r="G26" s="355"/>
      <c r="H26" s="48"/>
    </row>
    <row r="27" customFormat="false" ht="15" hidden="false" customHeight="true" outlineLevel="0" collapsed="false">
      <c r="A27" s="356" t="n">
        <v>8</v>
      </c>
      <c r="B27" s="357" t="s">
        <v>649</v>
      </c>
      <c r="C27" s="358" t="n">
        <v>9</v>
      </c>
      <c r="D27" s="48"/>
      <c r="E27" s="359" t="n">
        <f aca="false">(1-$F$10)*($E$10-C27+1)/36/12</f>
        <v>0</v>
      </c>
      <c r="F27" s="359" t="n">
        <f aca="false">(1-$F$12)*($E$12-C27+1)/55/12</f>
        <v>0.00272727272727273</v>
      </c>
      <c r="G27" s="355"/>
      <c r="H27" s="48"/>
    </row>
    <row r="28" customFormat="false" ht="15" hidden="false" customHeight="true" outlineLevel="0" collapsed="false">
      <c r="A28" s="356" t="n">
        <v>9</v>
      </c>
      <c r="B28" s="357" t="s">
        <v>649</v>
      </c>
      <c r="C28" s="358" t="n">
        <v>10</v>
      </c>
      <c r="D28" s="48"/>
      <c r="E28" s="359"/>
      <c r="F28" s="359" t="n">
        <f aca="false">(1-$F$12)*($E$12-C28+1)/55/12</f>
        <v>0.00136363636363636</v>
      </c>
      <c r="G28" s="355"/>
      <c r="H28" s="48"/>
    </row>
    <row r="29" customFormat="false" ht="15" hidden="false" customHeight="true" outlineLevel="0" collapsed="false">
      <c r="A29" s="356" t="n">
        <v>10</v>
      </c>
      <c r="B29" s="357" t="s">
        <v>649</v>
      </c>
      <c r="C29" s="358" t="n">
        <v>11</v>
      </c>
      <c r="D29" s="48"/>
      <c r="E29" s="359"/>
      <c r="F29" s="359" t="n">
        <f aca="false">(1-$F$12)*($E$12-C29+1)/55/12</f>
        <v>0</v>
      </c>
      <c r="G29" s="355"/>
      <c r="H29" s="48"/>
    </row>
    <row r="30" customFormat="false" ht="15" hidden="false" customHeight="true" outlineLevel="0" collapsed="false">
      <c r="A30" s="356" t="n">
        <v>11</v>
      </c>
      <c r="B30" s="357" t="s">
        <v>649</v>
      </c>
      <c r="C30" s="358" t="n">
        <v>12</v>
      </c>
      <c r="D30" s="48"/>
      <c r="E30" s="359"/>
      <c r="F30" s="359"/>
      <c r="G30" s="355"/>
      <c r="H30" s="48"/>
    </row>
    <row r="31" customFormat="false" ht="15" hidden="false" customHeight="true" outlineLevel="0" collapsed="false">
      <c r="A31" s="356"/>
      <c r="B31" s="357" t="s">
        <v>650</v>
      </c>
      <c r="C31" s="358" t="n">
        <v>12</v>
      </c>
      <c r="D31" s="48"/>
      <c r="E31" s="359"/>
      <c r="F31" s="359"/>
      <c r="G31" s="355"/>
      <c r="H31" s="48"/>
    </row>
    <row r="32" customFormat="false" ht="15" hidden="false" customHeight="true" outlineLevel="0" collapsed="false">
      <c r="A32" s="48"/>
      <c r="B32" s="48"/>
      <c r="C32" s="48"/>
      <c r="D32" s="48"/>
    </row>
    <row r="33" customFormat="false" ht="15.75" hidden="false" customHeight="false" outlineLevel="0" collapsed="false">
      <c r="A33" s="48" t="s">
        <v>651</v>
      </c>
      <c r="B33" s="48" t="s">
        <v>652</v>
      </c>
    </row>
    <row r="34" customFormat="false" ht="15" hidden="false" customHeight="false" outlineLevel="0" collapsed="false">
      <c r="A34" s="360" t="s">
        <v>153</v>
      </c>
      <c r="B34" s="360"/>
      <c r="C34" s="360"/>
      <c r="D34" s="360"/>
      <c r="E34" s="361" t="s">
        <v>161</v>
      </c>
      <c r="F34" s="362" t="s">
        <v>154</v>
      </c>
      <c r="G34" s="362"/>
      <c r="H34" s="363" t="s">
        <v>155</v>
      </c>
      <c r="I34" s="363"/>
    </row>
    <row r="35" customFormat="false" ht="15.75" hidden="false" customHeight="false" outlineLevel="0" collapsed="false">
      <c r="A35" s="360"/>
      <c r="B35" s="360"/>
      <c r="C35" s="360"/>
      <c r="D35" s="360"/>
      <c r="E35" s="361"/>
      <c r="F35" s="364" t="s">
        <v>156</v>
      </c>
      <c r="G35" s="364" t="s">
        <v>157</v>
      </c>
      <c r="H35" s="364" t="s">
        <v>156</v>
      </c>
      <c r="I35" s="365" t="s">
        <v>157</v>
      </c>
    </row>
    <row r="36" customFormat="false" ht="15" hidden="false" customHeight="false" outlineLevel="0" collapsed="false">
      <c r="A36" s="366" t="s">
        <v>162</v>
      </c>
      <c r="B36" s="366"/>
      <c r="C36" s="366"/>
      <c r="D36" s="366"/>
      <c r="E36" s="367" t="n">
        <v>0</v>
      </c>
      <c r="F36" s="368" t="n">
        <f aca="false">'1.3 Frota Total'!E31</f>
        <v>0</v>
      </c>
      <c r="G36" s="368" t="n">
        <f aca="false">'1.3 Frota Total'!F31</f>
        <v>0</v>
      </c>
      <c r="H36" s="368" t="n">
        <f aca="false">'1.3 Frota Total'!G31</f>
        <v>0</v>
      </c>
      <c r="I36" s="369" t="n">
        <f aca="false">'1.3 Frota Total'!H31</f>
        <v>0</v>
      </c>
      <c r="L36" s="96"/>
    </row>
    <row r="37" customFormat="false" ht="15" hidden="false" customHeight="false" outlineLevel="0" collapsed="false">
      <c r="A37" s="366"/>
      <c r="B37" s="366"/>
      <c r="C37" s="366"/>
      <c r="D37" s="366"/>
      <c r="E37" s="370" t="n">
        <v>1</v>
      </c>
      <c r="F37" s="371" t="n">
        <f aca="false">'1.3 Frota Total'!E32</f>
        <v>0</v>
      </c>
      <c r="G37" s="371" t="n">
        <f aca="false">'1.3 Frota Total'!F32</f>
        <v>0</v>
      </c>
      <c r="H37" s="371" t="n">
        <f aca="false">'1.3 Frota Total'!G32</f>
        <v>0</v>
      </c>
      <c r="I37" s="372" t="n">
        <f aca="false">'1.3 Frota Total'!H32</f>
        <v>0</v>
      </c>
    </row>
    <row r="38" customFormat="false" ht="15" hidden="false" customHeight="false" outlineLevel="0" collapsed="false">
      <c r="A38" s="366"/>
      <c r="B38" s="366"/>
      <c r="C38" s="366"/>
      <c r="D38" s="366"/>
      <c r="E38" s="370" t="n">
        <v>2</v>
      </c>
      <c r="F38" s="371" t="n">
        <f aca="false">'1.3 Frota Total'!E33</f>
        <v>0</v>
      </c>
      <c r="G38" s="371" t="n">
        <f aca="false">'1.3 Frota Total'!F33</f>
        <v>0</v>
      </c>
      <c r="H38" s="371" t="n">
        <f aca="false">'1.3 Frota Total'!G33</f>
        <v>0</v>
      </c>
      <c r="I38" s="372" t="n">
        <f aca="false">'1.3 Frota Total'!H33</f>
        <v>0</v>
      </c>
    </row>
    <row r="39" customFormat="false" ht="15" hidden="false" customHeight="false" outlineLevel="0" collapsed="false">
      <c r="A39" s="366"/>
      <c r="B39" s="366"/>
      <c r="C39" s="366"/>
      <c r="D39" s="366"/>
      <c r="E39" s="370" t="n">
        <v>3</v>
      </c>
      <c r="F39" s="371" t="n">
        <f aca="false">'1.3 Frota Total'!E34</f>
        <v>0</v>
      </c>
      <c r="G39" s="371" t="n">
        <f aca="false">'1.3 Frota Total'!F34</f>
        <v>0</v>
      </c>
      <c r="H39" s="371" t="n">
        <f aca="false">'1.3 Frota Total'!G34</f>
        <v>0</v>
      </c>
      <c r="I39" s="372" t="n">
        <f aca="false">'1.3 Frota Total'!H34</f>
        <v>0</v>
      </c>
    </row>
    <row r="40" customFormat="false" ht="15" hidden="false" customHeight="false" outlineLevel="0" collapsed="false">
      <c r="A40" s="366"/>
      <c r="B40" s="366"/>
      <c r="C40" s="366"/>
      <c r="D40" s="366"/>
      <c r="E40" s="370" t="n">
        <v>4</v>
      </c>
      <c r="F40" s="371" t="n">
        <f aca="false">'1.3 Frota Total'!E35</f>
        <v>0</v>
      </c>
      <c r="G40" s="371" t="n">
        <f aca="false">'1.3 Frota Total'!F35</f>
        <v>0</v>
      </c>
      <c r="H40" s="371" t="n">
        <f aca="false">'1.3 Frota Total'!G35</f>
        <v>0</v>
      </c>
      <c r="I40" s="372" t="n">
        <f aca="false">'1.3 Frota Total'!H35</f>
        <v>0</v>
      </c>
    </row>
    <row r="41" customFormat="false" ht="15.75" hidden="false" customHeight="false" outlineLevel="0" collapsed="false">
      <c r="A41" s="366"/>
      <c r="B41" s="366"/>
      <c r="C41" s="366"/>
      <c r="D41" s="366"/>
      <c r="E41" s="373" t="n">
        <v>5</v>
      </c>
      <c r="F41" s="374" t="n">
        <f aca="false">'1.3 Frota Total'!E36</f>
        <v>0</v>
      </c>
      <c r="G41" s="374" t="n">
        <f aca="false">'1.3 Frota Total'!F36</f>
        <v>0</v>
      </c>
      <c r="H41" s="374" t="n">
        <f aca="false">'1.3 Frota Total'!G36</f>
        <v>0</v>
      </c>
      <c r="I41" s="375" t="n">
        <f aca="false">'1.3 Frota Total'!H36</f>
        <v>0</v>
      </c>
    </row>
    <row r="42" customFormat="false" ht="15" hidden="false" customHeight="false" outlineLevel="0" collapsed="false">
      <c r="A42" s="376" t="s">
        <v>129</v>
      </c>
      <c r="B42" s="376"/>
      <c r="C42" s="376"/>
      <c r="D42" s="376"/>
      <c r="E42" s="367" t="n">
        <v>0</v>
      </c>
      <c r="F42" s="368" t="n">
        <f aca="false">'1.3 Frota Total'!E37</f>
        <v>0</v>
      </c>
      <c r="G42" s="368" t="n">
        <f aca="false">'1.3 Frota Total'!F37</f>
        <v>0</v>
      </c>
      <c r="H42" s="368" t="n">
        <f aca="false">'1.3 Frota Total'!G37</f>
        <v>0</v>
      </c>
      <c r="I42" s="369" t="n">
        <f aca="false">'1.3 Frota Total'!H37</f>
        <v>0</v>
      </c>
    </row>
    <row r="43" customFormat="false" ht="15" hidden="false" customHeight="false" outlineLevel="0" collapsed="false">
      <c r="A43" s="376"/>
      <c r="B43" s="376"/>
      <c r="C43" s="376"/>
      <c r="D43" s="376"/>
      <c r="E43" s="370" t="n">
        <v>1</v>
      </c>
      <c r="F43" s="371" t="n">
        <f aca="false">'1.3 Frota Total'!E38</f>
        <v>0</v>
      </c>
      <c r="G43" s="371" t="n">
        <f aca="false">'1.3 Frota Total'!F38</f>
        <v>0</v>
      </c>
      <c r="H43" s="371" t="n">
        <f aca="false">'1.3 Frota Total'!G38</f>
        <v>0</v>
      </c>
      <c r="I43" s="372" t="n">
        <f aca="false">'1.3 Frota Total'!H38</f>
        <v>0</v>
      </c>
    </row>
    <row r="44" customFormat="false" ht="15" hidden="false" customHeight="false" outlineLevel="0" collapsed="false">
      <c r="A44" s="376"/>
      <c r="B44" s="376"/>
      <c r="C44" s="376"/>
      <c r="D44" s="376"/>
      <c r="E44" s="370" t="n">
        <v>2</v>
      </c>
      <c r="F44" s="371" t="n">
        <f aca="false">'1.3 Frota Total'!E39</f>
        <v>0</v>
      </c>
      <c r="G44" s="371" t="n">
        <f aca="false">'1.3 Frota Total'!F39</f>
        <v>0</v>
      </c>
      <c r="H44" s="371" t="n">
        <f aca="false">'1.3 Frota Total'!G39</f>
        <v>0</v>
      </c>
      <c r="I44" s="372" t="n">
        <f aca="false">'1.3 Frota Total'!H39</f>
        <v>0</v>
      </c>
    </row>
    <row r="45" customFormat="false" ht="15" hidden="false" customHeight="false" outlineLevel="0" collapsed="false">
      <c r="A45" s="376"/>
      <c r="B45" s="376"/>
      <c r="C45" s="376"/>
      <c r="D45" s="376"/>
      <c r="E45" s="370" t="n">
        <v>3</v>
      </c>
      <c r="F45" s="371" t="n">
        <f aca="false">'1.3 Frota Total'!E40</f>
        <v>0</v>
      </c>
      <c r="G45" s="371" t="n">
        <f aca="false">'1.3 Frota Total'!F40</f>
        <v>0</v>
      </c>
      <c r="H45" s="371" t="n">
        <f aca="false">'1.3 Frota Total'!G40</f>
        <v>0</v>
      </c>
      <c r="I45" s="372" t="n">
        <f aca="false">'1.3 Frota Total'!H40</f>
        <v>0</v>
      </c>
    </row>
    <row r="46" customFormat="false" ht="15" hidden="false" customHeight="false" outlineLevel="0" collapsed="false">
      <c r="A46" s="376"/>
      <c r="B46" s="376"/>
      <c r="C46" s="376"/>
      <c r="D46" s="376"/>
      <c r="E46" s="370" t="n">
        <v>4</v>
      </c>
      <c r="F46" s="371" t="n">
        <f aca="false">'1.3 Frota Total'!E41</f>
        <v>0</v>
      </c>
      <c r="G46" s="371" t="n">
        <f aca="false">'1.3 Frota Total'!F41</f>
        <v>0</v>
      </c>
      <c r="H46" s="371" t="n">
        <f aca="false">'1.3 Frota Total'!G41</f>
        <v>0</v>
      </c>
      <c r="I46" s="372" t="n">
        <f aca="false">'1.3 Frota Total'!H41</f>
        <v>0</v>
      </c>
    </row>
    <row r="47" customFormat="false" ht="15.75" hidden="false" customHeight="false" outlineLevel="0" collapsed="false">
      <c r="A47" s="376"/>
      <c r="B47" s="376"/>
      <c r="C47" s="376"/>
      <c r="D47" s="376"/>
      <c r="E47" s="377" t="n">
        <v>5</v>
      </c>
      <c r="F47" s="378" t="n">
        <f aca="false">'1.3 Frota Total'!E42</f>
        <v>0</v>
      </c>
      <c r="G47" s="378" t="n">
        <f aca="false">'1.3 Frota Total'!F42</f>
        <v>0</v>
      </c>
      <c r="H47" s="378" t="n">
        <f aca="false">'1.3 Frota Total'!G42</f>
        <v>0</v>
      </c>
      <c r="I47" s="379" t="n">
        <f aca="false">'1.3 Frota Total'!H42</f>
        <v>0</v>
      </c>
    </row>
    <row r="48" customFormat="false" ht="15" hidden="false" customHeight="false" outlineLevel="0" collapsed="false">
      <c r="A48" s="376" t="s">
        <v>133</v>
      </c>
      <c r="B48" s="376"/>
      <c r="C48" s="376"/>
      <c r="D48" s="376"/>
      <c r="E48" s="367" t="n">
        <v>0</v>
      </c>
      <c r="F48" s="368" t="n">
        <f aca="false">'1.3 Frota Total'!E43</f>
        <v>0</v>
      </c>
      <c r="G48" s="368" t="n">
        <f aca="false">'1.3 Frota Total'!F43</f>
        <v>0</v>
      </c>
      <c r="H48" s="368" t="n">
        <f aca="false">'1.3 Frota Total'!G43</f>
        <v>0</v>
      </c>
      <c r="I48" s="369" t="n">
        <f aca="false">'1.3 Frota Total'!H43</f>
        <v>0</v>
      </c>
    </row>
    <row r="49" customFormat="false" ht="15" hidden="false" customHeight="false" outlineLevel="0" collapsed="false">
      <c r="A49" s="376"/>
      <c r="B49" s="376"/>
      <c r="C49" s="376"/>
      <c r="D49" s="376"/>
      <c r="E49" s="370" t="n">
        <v>1</v>
      </c>
      <c r="F49" s="371" t="n">
        <f aca="false">'1.3 Frota Total'!E44</f>
        <v>0</v>
      </c>
      <c r="G49" s="371" t="n">
        <f aca="false">'1.3 Frota Total'!F44</f>
        <v>0</v>
      </c>
      <c r="H49" s="371" t="n">
        <f aca="false">'1.3 Frota Total'!G44</f>
        <v>0</v>
      </c>
      <c r="I49" s="372" t="n">
        <f aca="false">'1.3 Frota Total'!H44</f>
        <v>0</v>
      </c>
    </row>
    <row r="50" customFormat="false" ht="15" hidden="false" customHeight="false" outlineLevel="0" collapsed="false">
      <c r="A50" s="376"/>
      <c r="B50" s="376"/>
      <c r="C50" s="376"/>
      <c r="D50" s="376"/>
      <c r="E50" s="370" t="n">
        <v>2</v>
      </c>
      <c r="F50" s="371" t="n">
        <f aca="false">'1.3 Frota Total'!E45</f>
        <v>0</v>
      </c>
      <c r="G50" s="371" t="n">
        <f aca="false">'1.3 Frota Total'!F45</f>
        <v>0</v>
      </c>
      <c r="H50" s="371" t="n">
        <f aca="false">'1.3 Frota Total'!G45</f>
        <v>0</v>
      </c>
      <c r="I50" s="372" t="n">
        <f aca="false">'1.3 Frota Total'!H45</f>
        <v>0</v>
      </c>
    </row>
    <row r="51" customFormat="false" ht="15" hidden="false" customHeight="false" outlineLevel="0" collapsed="false">
      <c r="A51" s="376"/>
      <c r="B51" s="376"/>
      <c r="C51" s="376"/>
      <c r="D51" s="376"/>
      <c r="E51" s="370" t="n">
        <v>3</v>
      </c>
      <c r="F51" s="371" t="n">
        <f aca="false">'1.3 Frota Total'!E46</f>
        <v>0</v>
      </c>
      <c r="G51" s="371" t="n">
        <f aca="false">'1.3 Frota Total'!F46</f>
        <v>0</v>
      </c>
      <c r="H51" s="371" t="n">
        <f aca="false">'1.3 Frota Total'!G46</f>
        <v>0</v>
      </c>
      <c r="I51" s="372" t="n">
        <f aca="false">'1.3 Frota Total'!H46</f>
        <v>0</v>
      </c>
    </row>
    <row r="52" customFormat="false" ht="15" hidden="false" customHeight="false" outlineLevel="0" collapsed="false">
      <c r="A52" s="376"/>
      <c r="B52" s="376"/>
      <c r="C52" s="376"/>
      <c r="D52" s="376"/>
      <c r="E52" s="370" t="n">
        <v>4</v>
      </c>
      <c r="F52" s="371" t="n">
        <f aca="false">'1.3 Frota Total'!E47</f>
        <v>0</v>
      </c>
      <c r="G52" s="371" t="n">
        <f aca="false">'1.3 Frota Total'!F47</f>
        <v>0</v>
      </c>
      <c r="H52" s="371" t="n">
        <f aca="false">'1.3 Frota Total'!G47</f>
        <v>0</v>
      </c>
      <c r="I52" s="372" t="n">
        <f aca="false">'1.3 Frota Total'!H47</f>
        <v>0</v>
      </c>
    </row>
    <row r="53" customFormat="false" ht="15" hidden="false" customHeight="false" outlineLevel="0" collapsed="false">
      <c r="A53" s="376"/>
      <c r="B53" s="376"/>
      <c r="C53" s="376"/>
      <c r="D53" s="376"/>
      <c r="E53" s="370" t="n">
        <v>5</v>
      </c>
      <c r="F53" s="371" t="n">
        <f aca="false">'1.3 Frota Total'!E48</f>
        <v>0</v>
      </c>
      <c r="G53" s="371" t="n">
        <f aca="false">'1.3 Frota Total'!F48</f>
        <v>0</v>
      </c>
      <c r="H53" s="371" t="n">
        <f aca="false">'1.3 Frota Total'!G48</f>
        <v>0</v>
      </c>
      <c r="I53" s="372" t="n">
        <f aca="false">'1.3 Frota Total'!H48</f>
        <v>0</v>
      </c>
    </row>
    <row r="54" customFormat="false" ht="15" hidden="false" customHeight="false" outlineLevel="0" collapsed="false">
      <c r="A54" s="376"/>
      <c r="B54" s="376"/>
      <c r="C54" s="376"/>
      <c r="D54" s="376"/>
      <c r="E54" s="370" t="n">
        <v>6</v>
      </c>
      <c r="F54" s="371" t="n">
        <f aca="false">'1.3 Frota Total'!E49</f>
        <v>0</v>
      </c>
      <c r="G54" s="371" t="n">
        <f aca="false">'1.3 Frota Total'!F49</f>
        <v>0</v>
      </c>
      <c r="H54" s="371" t="n">
        <f aca="false">'1.3 Frota Total'!G49</f>
        <v>0</v>
      </c>
      <c r="I54" s="372" t="n">
        <f aca="false">'1.3 Frota Total'!H49</f>
        <v>0</v>
      </c>
    </row>
    <row r="55" customFormat="false" ht="15" hidden="false" customHeight="false" outlineLevel="0" collapsed="false">
      <c r="A55" s="376"/>
      <c r="B55" s="376"/>
      <c r="C55" s="376"/>
      <c r="D55" s="376"/>
      <c r="E55" s="370" t="n">
        <v>7</v>
      </c>
      <c r="F55" s="371" t="n">
        <f aca="false">'1.3 Frota Total'!E50</f>
        <v>0</v>
      </c>
      <c r="G55" s="371" t="n">
        <f aca="false">'1.3 Frota Total'!F50</f>
        <v>0</v>
      </c>
      <c r="H55" s="371" t="n">
        <f aca="false">'1.3 Frota Total'!G50</f>
        <v>0</v>
      </c>
      <c r="I55" s="372" t="n">
        <f aca="false">'1.3 Frota Total'!H50</f>
        <v>0</v>
      </c>
    </row>
    <row r="56" customFormat="false" ht="15.75" hidden="false" customHeight="false" outlineLevel="0" collapsed="false">
      <c r="A56" s="376"/>
      <c r="B56" s="376"/>
      <c r="C56" s="376"/>
      <c r="D56" s="376"/>
      <c r="E56" s="377" t="n">
        <v>8</v>
      </c>
      <c r="F56" s="378" t="n">
        <f aca="false">'1.3 Frota Total'!E51</f>
        <v>0</v>
      </c>
      <c r="G56" s="378" t="n">
        <f aca="false">'1.3 Frota Total'!F51</f>
        <v>0</v>
      </c>
      <c r="H56" s="378" t="n">
        <f aca="false">'1.3 Frota Total'!G51</f>
        <v>0</v>
      </c>
      <c r="I56" s="379" t="n">
        <f aca="false">'1.3 Frota Total'!H51</f>
        <v>0</v>
      </c>
    </row>
    <row r="57" customFormat="false" ht="15" hidden="false" customHeight="false" outlineLevel="0" collapsed="false">
      <c r="A57" s="366" t="s">
        <v>137</v>
      </c>
      <c r="B57" s="366"/>
      <c r="C57" s="366"/>
      <c r="D57" s="366"/>
      <c r="E57" s="367" t="n">
        <v>0</v>
      </c>
      <c r="F57" s="368" t="n">
        <f aca="false">'1.3 Frota Total'!E52</f>
        <v>0</v>
      </c>
      <c r="G57" s="368" t="n">
        <f aca="false">'1.3 Frota Total'!F52</f>
        <v>0</v>
      </c>
      <c r="H57" s="368" t="n">
        <f aca="false">'1.3 Frota Total'!G52</f>
        <v>0</v>
      </c>
      <c r="I57" s="369" t="n">
        <f aca="false">'1.3 Frota Total'!H52</f>
        <v>0</v>
      </c>
      <c r="L57" s="96"/>
    </row>
    <row r="58" customFormat="false" ht="15" hidden="false" customHeight="false" outlineLevel="0" collapsed="false">
      <c r="A58" s="366"/>
      <c r="B58" s="366"/>
      <c r="C58" s="366"/>
      <c r="D58" s="366"/>
      <c r="E58" s="370" t="n">
        <v>1</v>
      </c>
      <c r="F58" s="371" t="n">
        <f aca="false">'1.3 Frota Total'!E53</f>
        <v>0</v>
      </c>
      <c r="G58" s="371" t="n">
        <f aca="false">'1.3 Frota Total'!F53</f>
        <v>0</v>
      </c>
      <c r="H58" s="371" t="n">
        <f aca="false">'1.3 Frota Total'!G53</f>
        <v>0</v>
      </c>
      <c r="I58" s="372" t="n">
        <f aca="false">'1.3 Frota Total'!H53</f>
        <v>0</v>
      </c>
    </row>
    <row r="59" customFormat="false" ht="15" hidden="false" customHeight="false" outlineLevel="0" collapsed="false">
      <c r="A59" s="366"/>
      <c r="B59" s="366"/>
      <c r="C59" s="366"/>
      <c r="D59" s="366"/>
      <c r="E59" s="370" t="n">
        <v>2</v>
      </c>
      <c r="F59" s="371" t="n">
        <v>0</v>
      </c>
      <c r="G59" s="371" t="n">
        <f aca="false">'1.3 Frota Total'!F54</f>
        <v>0</v>
      </c>
      <c r="H59" s="371" t="n">
        <v>0</v>
      </c>
      <c r="I59" s="372" t="n">
        <f aca="false">'1.3 Frota Total'!H54</f>
        <v>0</v>
      </c>
    </row>
    <row r="60" customFormat="false" ht="15" hidden="false" customHeight="false" outlineLevel="0" collapsed="false">
      <c r="A60" s="366"/>
      <c r="B60" s="366"/>
      <c r="C60" s="366"/>
      <c r="D60" s="366"/>
      <c r="E60" s="370" t="n">
        <v>3</v>
      </c>
      <c r="F60" s="371" t="n">
        <f aca="false">'1.3 Frota Total'!E55</f>
        <v>0</v>
      </c>
      <c r="G60" s="371" t="n">
        <f aca="false">'1.3 Frota Total'!F55</f>
        <v>0</v>
      </c>
      <c r="H60" s="371" t="n">
        <f aca="false">'1.3 Frota Total'!G55</f>
        <v>0</v>
      </c>
      <c r="I60" s="372" t="n">
        <f aca="false">'1.3 Frota Total'!H55</f>
        <v>0</v>
      </c>
    </row>
    <row r="61" customFormat="false" ht="15" hidden="false" customHeight="false" outlineLevel="0" collapsed="false">
      <c r="A61" s="366"/>
      <c r="B61" s="366"/>
      <c r="C61" s="366"/>
      <c r="D61" s="366"/>
      <c r="E61" s="370" t="n">
        <v>4</v>
      </c>
      <c r="F61" s="371" t="n">
        <f aca="false">'1.3 Frota Total'!E56</f>
        <v>0</v>
      </c>
      <c r="G61" s="371" t="n">
        <f aca="false">'1.3 Frota Total'!F56</f>
        <v>0</v>
      </c>
      <c r="H61" s="371" t="n">
        <f aca="false">'1.3 Frota Total'!G56</f>
        <v>0</v>
      </c>
      <c r="I61" s="372" t="n">
        <f aca="false">'1.3 Frota Total'!H56</f>
        <v>0</v>
      </c>
    </row>
    <row r="62" customFormat="false" ht="15" hidden="false" customHeight="false" outlineLevel="0" collapsed="false">
      <c r="A62" s="366"/>
      <c r="B62" s="366"/>
      <c r="C62" s="366"/>
      <c r="D62" s="366"/>
      <c r="E62" s="370" t="n">
        <v>5</v>
      </c>
      <c r="F62" s="371" t="n">
        <f aca="false">'1.3 Frota Total'!E57</f>
        <v>2</v>
      </c>
      <c r="G62" s="371" t="n">
        <f aca="false">'1.3 Frota Total'!F57</f>
        <v>0</v>
      </c>
      <c r="H62" s="371" t="n">
        <f aca="false">'1.3 Frota Total'!G57</f>
        <v>0</v>
      </c>
      <c r="I62" s="372" t="n">
        <f aca="false">'1.3 Frota Total'!H57</f>
        <v>0</v>
      </c>
    </row>
    <row r="63" customFormat="false" ht="15" hidden="false" customHeight="false" outlineLevel="0" collapsed="false">
      <c r="A63" s="366"/>
      <c r="B63" s="366"/>
      <c r="C63" s="366"/>
      <c r="D63" s="366"/>
      <c r="E63" s="370" t="n">
        <v>6</v>
      </c>
      <c r="F63" s="371" t="n">
        <f aca="false">'1.3 Frota Total'!E58</f>
        <v>0</v>
      </c>
      <c r="G63" s="371" t="n">
        <f aca="false">'1.3 Frota Total'!F58</f>
        <v>0</v>
      </c>
      <c r="H63" s="371" t="n">
        <f aca="false">'1.3 Frota Total'!G58</f>
        <v>2</v>
      </c>
      <c r="I63" s="372" t="n">
        <f aca="false">'1.3 Frota Total'!H58</f>
        <v>0</v>
      </c>
    </row>
    <row r="64" customFormat="false" ht="15" hidden="false" customHeight="false" outlineLevel="0" collapsed="false">
      <c r="A64" s="366"/>
      <c r="B64" s="366"/>
      <c r="C64" s="366"/>
      <c r="D64" s="366"/>
      <c r="E64" s="370" t="n">
        <v>7</v>
      </c>
      <c r="F64" s="371" t="n">
        <f aca="false">'1.3 Frota Total'!E59</f>
        <v>0</v>
      </c>
      <c r="G64" s="371" t="n">
        <f aca="false">'1.3 Frota Total'!F59</f>
        <v>0</v>
      </c>
      <c r="H64" s="371" t="n">
        <f aca="false">'1.3 Frota Total'!G59</f>
        <v>0</v>
      </c>
      <c r="I64" s="372" t="n">
        <f aca="false">'1.3 Frota Total'!H59</f>
        <v>0</v>
      </c>
    </row>
    <row r="65" customFormat="false" ht="15.75" hidden="false" customHeight="false" outlineLevel="0" collapsed="false">
      <c r="A65" s="366"/>
      <c r="B65" s="366"/>
      <c r="C65" s="366"/>
      <c r="D65" s="366"/>
      <c r="E65" s="373" t="n">
        <v>8</v>
      </c>
      <c r="F65" s="371" t="n">
        <f aca="false">'1.3 Frota Total'!E60</f>
        <v>12</v>
      </c>
      <c r="G65" s="374" t="n">
        <f aca="false">'1.3 Frota Total'!F60</f>
        <v>0</v>
      </c>
      <c r="H65" s="374" t="n">
        <f aca="false">'1.3 Frota Total'!G60</f>
        <v>0</v>
      </c>
      <c r="I65" s="375" t="n">
        <f aca="false">'1.3 Frota Total'!H60</f>
        <v>0</v>
      </c>
    </row>
    <row r="66" customFormat="false" ht="15" hidden="false" customHeight="false" outlineLevel="0" collapsed="false">
      <c r="A66" s="380" t="s">
        <v>141</v>
      </c>
      <c r="B66" s="380"/>
      <c r="C66" s="380"/>
      <c r="D66" s="380"/>
      <c r="E66" s="381" t="n">
        <v>0</v>
      </c>
      <c r="F66" s="382" t="n">
        <f aca="false">'1.3 Frota Total'!E61</f>
        <v>0</v>
      </c>
      <c r="G66" s="382" t="n">
        <f aca="false">'1.3 Frota Total'!F61</f>
        <v>0</v>
      </c>
      <c r="H66" s="382" t="n">
        <f aca="false">'1.3 Frota Total'!G61</f>
        <v>0</v>
      </c>
      <c r="I66" s="383" t="n">
        <f aca="false">'1.3 Frota Total'!H61</f>
        <v>0</v>
      </c>
    </row>
    <row r="67" customFormat="false" ht="15" hidden="false" customHeight="false" outlineLevel="0" collapsed="false">
      <c r="A67" s="380"/>
      <c r="B67" s="380"/>
      <c r="C67" s="380"/>
      <c r="D67" s="380"/>
      <c r="E67" s="370" t="n">
        <v>1</v>
      </c>
      <c r="F67" s="371" t="n">
        <f aca="false">'1.3 Frota Total'!E62</f>
        <v>0</v>
      </c>
      <c r="G67" s="371" t="n">
        <f aca="false">'1.3 Frota Total'!F62</f>
        <v>0</v>
      </c>
      <c r="H67" s="371" t="n">
        <f aca="false">'1.3 Frota Total'!G62</f>
        <v>0</v>
      </c>
      <c r="I67" s="372" t="n">
        <f aca="false">'1.3 Frota Total'!H62</f>
        <v>0</v>
      </c>
    </row>
    <row r="68" customFormat="false" ht="15" hidden="false" customHeight="false" outlineLevel="0" collapsed="false">
      <c r="A68" s="380"/>
      <c r="B68" s="380"/>
      <c r="C68" s="380"/>
      <c r="D68" s="380"/>
      <c r="E68" s="370" t="n">
        <v>2</v>
      </c>
      <c r="F68" s="371" t="n">
        <f aca="false">'1.3 Frota Total'!E63</f>
        <v>0</v>
      </c>
      <c r="G68" s="371" t="n">
        <f aca="false">'1.3 Frota Total'!F63</f>
        <v>0</v>
      </c>
      <c r="H68" s="371" t="n">
        <f aca="false">'1.3 Frota Total'!G63</f>
        <v>0</v>
      </c>
      <c r="I68" s="372" t="n">
        <f aca="false">'1.3 Frota Total'!H63</f>
        <v>0</v>
      </c>
    </row>
    <row r="69" customFormat="false" ht="15" hidden="false" customHeight="false" outlineLevel="0" collapsed="false">
      <c r="A69" s="380"/>
      <c r="B69" s="380"/>
      <c r="C69" s="380"/>
      <c r="D69" s="380"/>
      <c r="E69" s="370" t="n">
        <v>3</v>
      </c>
      <c r="F69" s="371" t="n">
        <f aca="false">'1.3 Frota Total'!E64</f>
        <v>0</v>
      </c>
      <c r="G69" s="371" t="n">
        <f aca="false">'1.3 Frota Total'!F64</f>
        <v>0</v>
      </c>
      <c r="H69" s="371" t="n">
        <f aca="false">'1.3 Frota Total'!G64</f>
        <v>0</v>
      </c>
      <c r="I69" s="372" t="n">
        <f aca="false">'1.3 Frota Total'!H64</f>
        <v>0</v>
      </c>
    </row>
    <row r="70" customFormat="false" ht="15" hidden="false" customHeight="false" outlineLevel="0" collapsed="false">
      <c r="A70" s="380"/>
      <c r="B70" s="380"/>
      <c r="C70" s="380"/>
      <c r="D70" s="380"/>
      <c r="E70" s="370" t="n">
        <v>4</v>
      </c>
      <c r="F70" s="371" t="n">
        <f aca="false">'1.3 Frota Total'!E65</f>
        <v>0</v>
      </c>
      <c r="G70" s="371" t="n">
        <f aca="false">'1.3 Frota Total'!F65</f>
        <v>0</v>
      </c>
      <c r="H70" s="371" t="n">
        <f aca="false">'1.3 Frota Total'!G65</f>
        <v>0</v>
      </c>
      <c r="I70" s="372" t="n">
        <f aca="false">'1.3 Frota Total'!H65</f>
        <v>0</v>
      </c>
    </row>
    <row r="71" customFormat="false" ht="15" hidden="false" customHeight="false" outlineLevel="0" collapsed="false">
      <c r="A71" s="380"/>
      <c r="B71" s="380"/>
      <c r="C71" s="380"/>
      <c r="D71" s="380"/>
      <c r="E71" s="370" t="n">
        <v>5</v>
      </c>
      <c r="F71" s="371" t="n">
        <f aca="false">'1.3 Frota Total'!E66</f>
        <v>0</v>
      </c>
      <c r="G71" s="371" t="n">
        <f aca="false">'1.3 Frota Total'!F66</f>
        <v>0</v>
      </c>
      <c r="H71" s="371" t="n">
        <f aca="false">'1.3 Frota Total'!G66</f>
        <v>0</v>
      </c>
      <c r="I71" s="372" t="n">
        <f aca="false">'1.3 Frota Total'!H66</f>
        <v>0</v>
      </c>
    </row>
    <row r="72" customFormat="false" ht="15" hidden="false" customHeight="false" outlineLevel="0" collapsed="false">
      <c r="A72" s="380"/>
      <c r="B72" s="380"/>
      <c r="C72" s="380"/>
      <c r="D72" s="380"/>
      <c r="E72" s="370" t="n">
        <v>6</v>
      </c>
      <c r="F72" s="371" t="n">
        <f aca="false">'1.3 Frota Total'!E67</f>
        <v>0</v>
      </c>
      <c r="G72" s="371" t="n">
        <f aca="false">'1.3 Frota Total'!F67</f>
        <v>0</v>
      </c>
      <c r="H72" s="371" t="n">
        <f aca="false">'1.3 Frota Total'!G67</f>
        <v>0</v>
      </c>
      <c r="I72" s="372" t="n">
        <f aca="false">'1.3 Frota Total'!H67</f>
        <v>0</v>
      </c>
    </row>
    <row r="73" customFormat="false" ht="15" hidden="false" customHeight="false" outlineLevel="0" collapsed="false">
      <c r="A73" s="380"/>
      <c r="B73" s="380"/>
      <c r="C73" s="380"/>
      <c r="D73" s="380"/>
      <c r="E73" s="370" t="n">
        <v>7</v>
      </c>
      <c r="F73" s="371" t="n">
        <f aca="false">'1.3 Frota Total'!E68</f>
        <v>0</v>
      </c>
      <c r="G73" s="371" t="n">
        <f aca="false">'1.3 Frota Total'!F68</f>
        <v>0</v>
      </c>
      <c r="H73" s="371" t="n">
        <f aca="false">'1.3 Frota Total'!G68</f>
        <v>0</v>
      </c>
      <c r="I73" s="372" t="n">
        <f aca="false">'1.3 Frota Total'!H68</f>
        <v>0</v>
      </c>
    </row>
    <row r="74" customFormat="false" ht="15" hidden="false" customHeight="false" outlineLevel="0" collapsed="false">
      <c r="A74" s="380"/>
      <c r="B74" s="380"/>
      <c r="C74" s="380"/>
      <c r="D74" s="380"/>
      <c r="E74" s="370" t="n">
        <v>8</v>
      </c>
      <c r="F74" s="371" t="n">
        <f aca="false">'1.3 Frota Total'!E69</f>
        <v>0</v>
      </c>
      <c r="G74" s="371" t="n">
        <f aca="false">'1.3 Frota Total'!F69</f>
        <v>0</v>
      </c>
      <c r="H74" s="371" t="n">
        <f aca="false">'1.3 Frota Total'!G69</f>
        <v>0</v>
      </c>
      <c r="I74" s="372" t="n">
        <f aca="false">'1.3 Frota Total'!H69</f>
        <v>0</v>
      </c>
    </row>
    <row r="75" customFormat="false" ht="15" hidden="false" customHeight="false" outlineLevel="0" collapsed="false">
      <c r="A75" s="380"/>
      <c r="B75" s="380"/>
      <c r="C75" s="380"/>
      <c r="D75" s="380"/>
      <c r="E75" s="370" t="n">
        <v>9</v>
      </c>
      <c r="F75" s="371" t="n">
        <f aca="false">'1.3 Frota Total'!E70</f>
        <v>0</v>
      </c>
      <c r="G75" s="371" t="n">
        <f aca="false">'1.3 Frota Total'!F70</f>
        <v>0</v>
      </c>
      <c r="H75" s="371" t="n">
        <f aca="false">'1.3 Frota Total'!G70</f>
        <v>0</v>
      </c>
      <c r="I75" s="372" t="n">
        <f aca="false">'1.3 Frota Total'!H70</f>
        <v>0</v>
      </c>
    </row>
    <row r="76" customFormat="false" ht="15.75" hidden="false" customHeight="false" outlineLevel="0" collapsed="false">
      <c r="A76" s="380"/>
      <c r="B76" s="380"/>
      <c r="C76" s="380"/>
      <c r="D76" s="380"/>
      <c r="E76" s="377" t="n">
        <v>10</v>
      </c>
      <c r="F76" s="378" t="n">
        <f aca="false">'1.3 Frota Total'!E71</f>
        <v>0</v>
      </c>
      <c r="G76" s="378" t="n">
        <f aca="false">'1.3 Frota Total'!F71</f>
        <v>0</v>
      </c>
      <c r="H76" s="378" t="n">
        <f aca="false">'1.3 Frota Total'!G71</f>
        <v>0</v>
      </c>
      <c r="I76" s="379" t="n">
        <f aca="false">'1.3 Frota Total'!H71</f>
        <v>0</v>
      </c>
    </row>
    <row r="77" customFormat="false" ht="15" hidden="false" customHeight="false" outlineLevel="0" collapsed="false">
      <c r="A77" s="376" t="s">
        <v>143</v>
      </c>
      <c r="B77" s="376"/>
      <c r="C77" s="376"/>
      <c r="D77" s="376"/>
      <c r="E77" s="367" t="n">
        <v>0</v>
      </c>
      <c r="F77" s="368" t="n">
        <f aca="false">'1.3 Frota Total'!E72</f>
        <v>0</v>
      </c>
      <c r="G77" s="368" t="n">
        <f aca="false">'1.3 Frota Total'!F72</f>
        <v>0</v>
      </c>
      <c r="H77" s="368" t="n">
        <f aca="false">'1.3 Frota Total'!G72</f>
        <v>0</v>
      </c>
      <c r="I77" s="369" t="n">
        <f aca="false">'1.3 Frota Total'!H72</f>
        <v>0</v>
      </c>
    </row>
    <row r="78" customFormat="false" ht="15" hidden="false" customHeight="false" outlineLevel="0" collapsed="false">
      <c r="A78" s="376"/>
      <c r="B78" s="376"/>
      <c r="C78" s="376"/>
      <c r="D78" s="376"/>
      <c r="E78" s="370" t="n">
        <v>1</v>
      </c>
      <c r="F78" s="371" t="n">
        <f aca="false">'1.3 Frota Total'!E73</f>
        <v>0</v>
      </c>
      <c r="G78" s="371" t="n">
        <f aca="false">'1.3 Frota Total'!F73</f>
        <v>0</v>
      </c>
      <c r="H78" s="371" t="n">
        <f aca="false">'1.3 Frota Total'!G73</f>
        <v>0</v>
      </c>
      <c r="I78" s="372" t="n">
        <f aca="false">'1.3 Frota Total'!H73</f>
        <v>0</v>
      </c>
    </row>
    <row r="79" customFormat="false" ht="15" hidden="false" customHeight="false" outlineLevel="0" collapsed="false">
      <c r="A79" s="376"/>
      <c r="B79" s="376"/>
      <c r="C79" s="376"/>
      <c r="D79" s="376"/>
      <c r="E79" s="370" t="n">
        <v>2</v>
      </c>
      <c r="F79" s="371" t="n">
        <f aca="false">'1.3 Frota Total'!E74</f>
        <v>0</v>
      </c>
      <c r="G79" s="371" t="n">
        <f aca="false">'1.3 Frota Total'!F74</f>
        <v>0</v>
      </c>
      <c r="H79" s="371" t="n">
        <f aca="false">'1.3 Frota Total'!G74</f>
        <v>0</v>
      </c>
      <c r="I79" s="372" t="n">
        <f aca="false">'1.3 Frota Total'!H74</f>
        <v>0</v>
      </c>
    </row>
    <row r="80" customFormat="false" ht="15" hidden="false" customHeight="false" outlineLevel="0" collapsed="false">
      <c r="A80" s="376"/>
      <c r="B80" s="376"/>
      <c r="C80" s="376"/>
      <c r="D80" s="376"/>
      <c r="E80" s="370" t="n">
        <v>3</v>
      </c>
      <c r="F80" s="371" t="n">
        <f aca="false">'1.3 Frota Total'!E75</f>
        <v>0</v>
      </c>
      <c r="G80" s="371" t="n">
        <f aca="false">'1.3 Frota Total'!F75</f>
        <v>0</v>
      </c>
      <c r="H80" s="371" t="n">
        <f aca="false">'1.3 Frota Total'!G75</f>
        <v>0</v>
      </c>
      <c r="I80" s="372" t="n">
        <f aca="false">'1.3 Frota Total'!H75</f>
        <v>0</v>
      </c>
    </row>
    <row r="81" customFormat="false" ht="15" hidden="false" customHeight="false" outlineLevel="0" collapsed="false">
      <c r="A81" s="376"/>
      <c r="B81" s="376"/>
      <c r="C81" s="376"/>
      <c r="D81" s="376"/>
      <c r="E81" s="370" t="n">
        <v>4</v>
      </c>
      <c r="F81" s="371" t="n">
        <f aca="false">'1.3 Frota Total'!E76</f>
        <v>0</v>
      </c>
      <c r="G81" s="371" t="n">
        <f aca="false">'1.3 Frota Total'!F76</f>
        <v>0</v>
      </c>
      <c r="H81" s="371" t="n">
        <f aca="false">'1.3 Frota Total'!G76</f>
        <v>0</v>
      </c>
      <c r="I81" s="372" t="n">
        <f aca="false">'1.3 Frota Total'!H76</f>
        <v>0</v>
      </c>
    </row>
    <row r="82" customFormat="false" ht="15" hidden="false" customHeight="false" outlineLevel="0" collapsed="false">
      <c r="A82" s="376"/>
      <c r="B82" s="376"/>
      <c r="C82" s="376"/>
      <c r="D82" s="376"/>
      <c r="E82" s="370" t="n">
        <v>5</v>
      </c>
      <c r="F82" s="371" t="n">
        <f aca="false">'1.3 Frota Total'!E77</f>
        <v>0</v>
      </c>
      <c r="G82" s="371" t="n">
        <f aca="false">'1.3 Frota Total'!F77</f>
        <v>0</v>
      </c>
      <c r="H82" s="371" t="n">
        <f aca="false">'1.3 Frota Total'!G77</f>
        <v>0</v>
      </c>
      <c r="I82" s="372" t="n">
        <f aca="false">'1.3 Frota Total'!H77</f>
        <v>0</v>
      </c>
    </row>
    <row r="83" customFormat="false" ht="15" hidden="false" customHeight="false" outlineLevel="0" collapsed="false">
      <c r="A83" s="376"/>
      <c r="B83" s="376"/>
      <c r="C83" s="376"/>
      <c r="D83" s="376"/>
      <c r="E83" s="370" t="n">
        <v>6</v>
      </c>
      <c r="F83" s="371" t="n">
        <f aca="false">'1.3 Frota Total'!E78</f>
        <v>0</v>
      </c>
      <c r="G83" s="371" t="n">
        <f aca="false">'1.3 Frota Total'!F78</f>
        <v>0</v>
      </c>
      <c r="H83" s="371" t="n">
        <f aca="false">'1.3 Frota Total'!G78</f>
        <v>0</v>
      </c>
      <c r="I83" s="372" t="n">
        <f aca="false">'1.3 Frota Total'!H78</f>
        <v>0</v>
      </c>
    </row>
    <row r="84" customFormat="false" ht="15" hidden="false" customHeight="false" outlineLevel="0" collapsed="false">
      <c r="A84" s="376"/>
      <c r="B84" s="376"/>
      <c r="C84" s="376"/>
      <c r="D84" s="376"/>
      <c r="E84" s="370" t="n">
        <v>7</v>
      </c>
      <c r="F84" s="371" t="n">
        <f aca="false">'1.3 Frota Total'!E79</f>
        <v>0</v>
      </c>
      <c r="G84" s="371" t="n">
        <f aca="false">'1.3 Frota Total'!F79</f>
        <v>0</v>
      </c>
      <c r="H84" s="371" t="n">
        <f aca="false">'1.3 Frota Total'!G79</f>
        <v>0</v>
      </c>
      <c r="I84" s="372" t="n">
        <f aca="false">'1.3 Frota Total'!H79</f>
        <v>0</v>
      </c>
    </row>
    <row r="85" customFormat="false" ht="15" hidden="false" customHeight="false" outlineLevel="0" collapsed="false">
      <c r="A85" s="376"/>
      <c r="B85" s="376"/>
      <c r="C85" s="376"/>
      <c r="D85" s="376"/>
      <c r="E85" s="370" t="n">
        <v>8</v>
      </c>
      <c r="F85" s="371" t="n">
        <f aca="false">'1.3 Frota Total'!E80</f>
        <v>0</v>
      </c>
      <c r="G85" s="371" t="n">
        <f aca="false">'1.3 Frota Total'!F80</f>
        <v>0</v>
      </c>
      <c r="H85" s="371" t="n">
        <f aca="false">'1.3 Frota Total'!G80</f>
        <v>0</v>
      </c>
      <c r="I85" s="372" t="n">
        <f aca="false">'1.3 Frota Total'!H80</f>
        <v>0</v>
      </c>
    </row>
    <row r="86" customFormat="false" ht="15" hidden="false" customHeight="false" outlineLevel="0" collapsed="false">
      <c r="A86" s="376"/>
      <c r="B86" s="376"/>
      <c r="C86" s="376"/>
      <c r="D86" s="376"/>
      <c r="E86" s="370" t="n">
        <v>9</v>
      </c>
      <c r="F86" s="371" t="n">
        <f aca="false">'1.3 Frota Total'!E81</f>
        <v>0</v>
      </c>
      <c r="G86" s="371" t="n">
        <f aca="false">'1.3 Frota Total'!F81</f>
        <v>0</v>
      </c>
      <c r="H86" s="371" t="n">
        <f aca="false">'1.3 Frota Total'!G81</f>
        <v>0</v>
      </c>
      <c r="I86" s="372" t="n">
        <f aca="false">'1.3 Frota Total'!H81</f>
        <v>0</v>
      </c>
    </row>
    <row r="87" customFormat="false" ht="15" hidden="false" customHeight="false" outlineLevel="0" collapsed="false">
      <c r="A87" s="376"/>
      <c r="B87" s="376"/>
      <c r="C87" s="376"/>
      <c r="D87" s="376"/>
      <c r="E87" s="370" t="n">
        <v>10</v>
      </c>
      <c r="F87" s="371" t="n">
        <f aca="false">'1.3 Frota Total'!E82</f>
        <v>0</v>
      </c>
      <c r="G87" s="371" t="n">
        <f aca="false">'1.3 Frota Total'!F82</f>
        <v>0</v>
      </c>
      <c r="H87" s="371" t="n">
        <f aca="false">'1.3 Frota Total'!G82</f>
        <v>0</v>
      </c>
      <c r="I87" s="372" t="n">
        <f aca="false">'1.3 Frota Total'!H82</f>
        <v>0</v>
      </c>
    </row>
    <row r="88" customFormat="false" ht="15" hidden="false" customHeight="false" outlineLevel="0" collapsed="false">
      <c r="A88" s="376"/>
      <c r="B88" s="376"/>
      <c r="C88" s="376"/>
      <c r="D88" s="376"/>
      <c r="E88" s="370" t="n">
        <v>11</v>
      </c>
      <c r="F88" s="371" t="n">
        <f aca="false">'1.3 Frota Total'!E83</f>
        <v>0</v>
      </c>
      <c r="G88" s="371" t="n">
        <f aca="false">'1.3 Frota Total'!F83</f>
        <v>0</v>
      </c>
      <c r="H88" s="371" t="n">
        <f aca="false">'1.3 Frota Total'!G83</f>
        <v>0</v>
      </c>
      <c r="I88" s="372" t="n">
        <f aca="false">'1.3 Frota Total'!H83</f>
        <v>0</v>
      </c>
    </row>
    <row r="89" customFormat="false" ht="15.75" hidden="false" customHeight="false" outlineLevel="0" collapsed="false">
      <c r="A89" s="376"/>
      <c r="B89" s="376"/>
      <c r="C89" s="376"/>
      <c r="D89" s="376"/>
      <c r="E89" s="377" t="n">
        <v>12</v>
      </c>
      <c r="F89" s="378" t="n">
        <f aca="false">'1.3 Frota Total'!E84</f>
        <v>0</v>
      </c>
      <c r="G89" s="378" t="n">
        <f aca="false">'1.3 Frota Total'!F84</f>
        <v>0</v>
      </c>
      <c r="H89" s="378" t="n">
        <f aca="false">'1.3 Frota Total'!G84</f>
        <v>0</v>
      </c>
      <c r="I89" s="379" t="n">
        <f aca="false">'1.3 Frota Total'!H84</f>
        <v>0</v>
      </c>
    </row>
    <row r="90" customFormat="false" ht="15" hidden="false" customHeight="false" outlineLevel="0" collapsed="false">
      <c r="A90" s="366" t="s">
        <v>147</v>
      </c>
      <c r="B90" s="366"/>
      <c r="C90" s="366"/>
      <c r="D90" s="366"/>
      <c r="E90" s="367" t="n">
        <v>0</v>
      </c>
      <c r="F90" s="368" t="n">
        <f aca="false">'1.3 Frota Total'!E85</f>
        <v>0</v>
      </c>
      <c r="G90" s="368" t="n">
        <f aca="false">'1.3 Frota Total'!F85</f>
        <v>0</v>
      </c>
      <c r="H90" s="368" t="n">
        <f aca="false">'1.3 Frota Total'!G85</f>
        <v>0</v>
      </c>
      <c r="I90" s="369" t="n">
        <f aca="false">'1.3 Frota Total'!H85</f>
        <v>0</v>
      </c>
    </row>
    <row r="91" customFormat="false" ht="15" hidden="false" customHeight="false" outlineLevel="0" collapsed="false">
      <c r="A91" s="366"/>
      <c r="B91" s="366"/>
      <c r="C91" s="366"/>
      <c r="D91" s="366"/>
      <c r="E91" s="370" t="n">
        <v>1</v>
      </c>
      <c r="F91" s="371" t="n">
        <f aca="false">'1.3 Frota Total'!E86</f>
        <v>0</v>
      </c>
      <c r="G91" s="371" t="n">
        <f aca="false">'1.3 Frota Total'!F86</f>
        <v>0</v>
      </c>
      <c r="H91" s="371" t="n">
        <f aca="false">'1.3 Frota Total'!G86</f>
        <v>0</v>
      </c>
      <c r="I91" s="372" t="n">
        <f aca="false">'1.3 Frota Total'!H86</f>
        <v>0</v>
      </c>
    </row>
    <row r="92" customFormat="false" ht="15" hidden="false" customHeight="false" outlineLevel="0" collapsed="false">
      <c r="A92" s="366"/>
      <c r="B92" s="366"/>
      <c r="C92" s="366"/>
      <c r="D92" s="366"/>
      <c r="E92" s="370" t="n">
        <v>2</v>
      </c>
      <c r="F92" s="371" t="n">
        <f aca="false">'1.3 Frota Total'!E87</f>
        <v>0</v>
      </c>
      <c r="G92" s="371" t="n">
        <f aca="false">'1.3 Frota Total'!F87</f>
        <v>0</v>
      </c>
      <c r="H92" s="371" t="n">
        <f aca="false">'1.3 Frota Total'!G87</f>
        <v>0</v>
      </c>
      <c r="I92" s="372" t="n">
        <f aca="false">'1.3 Frota Total'!H87</f>
        <v>0</v>
      </c>
    </row>
    <row r="93" customFormat="false" ht="15" hidden="false" customHeight="false" outlineLevel="0" collapsed="false">
      <c r="A93" s="366"/>
      <c r="B93" s="366"/>
      <c r="C93" s="366"/>
      <c r="D93" s="366"/>
      <c r="E93" s="370" t="n">
        <v>3</v>
      </c>
      <c r="F93" s="371" t="n">
        <f aca="false">'1.3 Frota Total'!E88</f>
        <v>0</v>
      </c>
      <c r="G93" s="371" t="n">
        <f aca="false">'1.3 Frota Total'!F88</f>
        <v>0</v>
      </c>
      <c r="H93" s="371" t="n">
        <f aca="false">'1.3 Frota Total'!G88</f>
        <v>0</v>
      </c>
      <c r="I93" s="372" t="n">
        <f aca="false">'1.3 Frota Total'!H88</f>
        <v>0</v>
      </c>
    </row>
    <row r="94" customFormat="false" ht="15" hidden="false" customHeight="false" outlineLevel="0" collapsed="false">
      <c r="A94" s="366"/>
      <c r="B94" s="366"/>
      <c r="C94" s="366"/>
      <c r="D94" s="366"/>
      <c r="E94" s="370" t="n">
        <v>4</v>
      </c>
      <c r="F94" s="371" t="n">
        <f aca="false">'1.3 Frota Total'!E89</f>
        <v>0</v>
      </c>
      <c r="G94" s="371" t="n">
        <f aca="false">'1.3 Frota Total'!F89</f>
        <v>0</v>
      </c>
      <c r="H94" s="371" t="n">
        <f aca="false">'1.3 Frota Total'!G89</f>
        <v>0</v>
      </c>
      <c r="I94" s="372" t="n">
        <f aca="false">'1.3 Frota Total'!H89</f>
        <v>0</v>
      </c>
    </row>
    <row r="95" customFormat="false" ht="15" hidden="false" customHeight="false" outlineLevel="0" collapsed="false">
      <c r="A95" s="366"/>
      <c r="B95" s="366"/>
      <c r="C95" s="366"/>
      <c r="D95" s="366"/>
      <c r="E95" s="370" t="n">
        <v>5</v>
      </c>
      <c r="F95" s="371" t="n">
        <f aca="false">'1.3 Frota Total'!E90</f>
        <v>0</v>
      </c>
      <c r="G95" s="371" t="n">
        <f aca="false">'1.3 Frota Total'!F90</f>
        <v>0</v>
      </c>
      <c r="H95" s="371" t="n">
        <f aca="false">'1.3 Frota Total'!G90</f>
        <v>0</v>
      </c>
      <c r="I95" s="372" t="n">
        <f aca="false">'1.3 Frota Total'!H90</f>
        <v>0</v>
      </c>
    </row>
    <row r="96" customFormat="false" ht="15" hidden="false" customHeight="false" outlineLevel="0" collapsed="false">
      <c r="A96" s="366"/>
      <c r="B96" s="366"/>
      <c r="C96" s="366"/>
      <c r="D96" s="366"/>
      <c r="E96" s="370" t="n">
        <v>6</v>
      </c>
      <c r="F96" s="371" t="n">
        <f aca="false">'1.3 Frota Total'!E91</f>
        <v>0</v>
      </c>
      <c r="G96" s="371" t="n">
        <f aca="false">'1.3 Frota Total'!F91</f>
        <v>0</v>
      </c>
      <c r="H96" s="371" t="n">
        <f aca="false">'1.3 Frota Total'!G91</f>
        <v>0</v>
      </c>
      <c r="I96" s="372" t="n">
        <f aca="false">'1.3 Frota Total'!H91</f>
        <v>0</v>
      </c>
    </row>
    <row r="97" customFormat="false" ht="15" hidden="false" customHeight="false" outlineLevel="0" collapsed="false">
      <c r="A97" s="366"/>
      <c r="B97" s="366"/>
      <c r="C97" s="366"/>
      <c r="D97" s="366"/>
      <c r="E97" s="370" t="n">
        <v>7</v>
      </c>
      <c r="F97" s="371" t="n">
        <f aca="false">'1.3 Frota Total'!E92</f>
        <v>0</v>
      </c>
      <c r="G97" s="371" t="n">
        <f aca="false">'1.3 Frota Total'!F92</f>
        <v>0</v>
      </c>
      <c r="H97" s="371" t="n">
        <f aca="false">'1.3 Frota Total'!G92</f>
        <v>0</v>
      </c>
      <c r="I97" s="372" t="n">
        <f aca="false">'1.3 Frota Total'!H92</f>
        <v>0</v>
      </c>
    </row>
    <row r="98" customFormat="false" ht="15" hidden="false" customHeight="false" outlineLevel="0" collapsed="false">
      <c r="A98" s="366"/>
      <c r="B98" s="366"/>
      <c r="C98" s="366"/>
      <c r="D98" s="366"/>
      <c r="E98" s="370" t="n">
        <v>8</v>
      </c>
      <c r="F98" s="371" t="n">
        <f aca="false">'1.3 Frota Total'!E93</f>
        <v>0</v>
      </c>
      <c r="G98" s="371" t="n">
        <f aca="false">'1.3 Frota Total'!F93</f>
        <v>0</v>
      </c>
      <c r="H98" s="371" t="n">
        <f aca="false">'1.3 Frota Total'!G93</f>
        <v>0</v>
      </c>
      <c r="I98" s="372" t="n">
        <f aca="false">'1.3 Frota Total'!H93</f>
        <v>0</v>
      </c>
    </row>
    <row r="99" customFormat="false" ht="15" hidden="false" customHeight="false" outlineLevel="0" collapsed="false">
      <c r="A99" s="366"/>
      <c r="B99" s="366"/>
      <c r="C99" s="366"/>
      <c r="D99" s="366"/>
      <c r="E99" s="370" t="n">
        <v>9</v>
      </c>
      <c r="F99" s="371" t="n">
        <f aca="false">'1.3 Frota Total'!E94</f>
        <v>0</v>
      </c>
      <c r="G99" s="371" t="n">
        <f aca="false">'1.3 Frota Total'!F94</f>
        <v>0</v>
      </c>
      <c r="H99" s="371" t="n">
        <f aca="false">'1.3 Frota Total'!G94</f>
        <v>0</v>
      </c>
      <c r="I99" s="372" t="n">
        <f aca="false">'1.3 Frota Total'!H94</f>
        <v>0</v>
      </c>
    </row>
    <row r="100" customFormat="false" ht="15" hidden="false" customHeight="false" outlineLevel="0" collapsed="false">
      <c r="A100" s="366"/>
      <c r="B100" s="366"/>
      <c r="C100" s="366"/>
      <c r="D100" s="366"/>
      <c r="E100" s="370" t="n">
        <v>10</v>
      </c>
      <c r="F100" s="371" t="n">
        <f aca="false">'1.3 Frota Total'!E95</f>
        <v>0</v>
      </c>
      <c r="G100" s="371" t="n">
        <f aca="false">'1.3 Frota Total'!F95</f>
        <v>0</v>
      </c>
      <c r="H100" s="371" t="n">
        <f aca="false">'1.3 Frota Total'!G95</f>
        <v>0</v>
      </c>
      <c r="I100" s="372" t="n">
        <f aca="false">'1.3 Frota Total'!H95</f>
        <v>0</v>
      </c>
    </row>
    <row r="101" customFormat="false" ht="15" hidden="false" customHeight="false" outlineLevel="0" collapsed="false">
      <c r="A101" s="366"/>
      <c r="B101" s="366"/>
      <c r="C101" s="366"/>
      <c r="D101" s="366"/>
      <c r="E101" s="370" t="n">
        <v>11</v>
      </c>
      <c r="F101" s="371" t="n">
        <f aca="false">'1.3 Frota Total'!E96</f>
        <v>0</v>
      </c>
      <c r="G101" s="371" t="n">
        <f aca="false">'1.3 Frota Total'!F96</f>
        <v>0</v>
      </c>
      <c r="H101" s="371" t="n">
        <f aca="false">'1.3 Frota Total'!G96</f>
        <v>0</v>
      </c>
      <c r="I101" s="372" t="n">
        <f aca="false">'1.3 Frota Total'!H96</f>
        <v>0</v>
      </c>
    </row>
    <row r="102" customFormat="false" ht="15.75" hidden="false" customHeight="false" outlineLevel="0" collapsed="false">
      <c r="A102" s="366"/>
      <c r="B102" s="366"/>
      <c r="C102" s="366"/>
      <c r="D102" s="366"/>
      <c r="E102" s="373" t="n">
        <v>12</v>
      </c>
      <c r="F102" s="374" t="n">
        <f aca="false">'1.3 Frota Total'!E97</f>
        <v>0</v>
      </c>
      <c r="G102" s="374" t="n">
        <f aca="false">'1.3 Frota Total'!F97</f>
        <v>0</v>
      </c>
      <c r="H102" s="374" t="n">
        <f aca="false">'1.3 Frota Total'!G97</f>
        <v>0</v>
      </c>
      <c r="I102" s="375" t="n">
        <f aca="false">'1.3 Frota Total'!H97</f>
        <v>0</v>
      </c>
    </row>
    <row r="104" customFormat="false" ht="15" hidden="false" customHeight="false" outlineLevel="0" collapsed="false">
      <c r="A104" s="48" t="s">
        <v>653</v>
      </c>
      <c r="B104" s="48" t="s">
        <v>654</v>
      </c>
    </row>
    <row r="105" customFormat="false" ht="15" hidden="false" customHeight="false" outlineLevel="0" collapsed="false">
      <c r="A105" s="384" t="s">
        <v>153</v>
      </c>
      <c r="B105" s="384"/>
      <c r="C105" s="384"/>
      <c r="D105" s="384"/>
      <c r="E105" s="384" t="s">
        <v>161</v>
      </c>
      <c r="F105" s="385" t="s">
        <v>154</v>
      </c>
      <c r="G105" s="385" t="s">
        <v>155</v>
      </c>
      <c r="H105" s="385" t="s">
        <v>155</v>
      </c>
      <c r="I105" s="386"/>
      <c r="J105" s="384" t="s">
        <v>655</v>
      </c>
    </row>
    <row r="106" customFormat="false" ht="15.75" hidden="false" customHeight="false" outlineLevel="0" collapsed="false">
      <c r="A106" s="384"/>
      <c r="B106" s="384"/>
      <c r="C106" s="384"/>
      <c r="D106" s="384"/>
      <c r="E106" s="384"/>
      <c r="F106" s="384" t="s">
        <v>156</v>
      </c>
      <c r="G106" s="384"/>
      <c r="H106" s="384" t="s">
        <v>156</v>
      </c>
      <c r="I106" s="384"/>
      <c r="J106" s="384" t="s">
        <v>655</v>
      </c>
    </row>
    <row r="107" customFormat="false" ht="15" hidden="true" customHeight="false" outlineLevel="0" collapsed="false">
      <c r="A107" s="387" t="s">
        <v>162</v>
      </c>
      <c r="B107" s="387"/>
      <c r="C107" s="387"/>
      <c r="D107" s="387"/>
      <c r="E107" s="388" t="n">
        <v>0</v>
      </c>
      <c r="F107" s="389" t="n">
        <f aca="false">F36*$J107</f>
        <v>0</v>
      </c>
      <c r="G107" s="389"/>
      <c r="H107" s="389" t="n">
        <f aca="false">H36*$J107</f>
        <v>0</v>
      </c>
      <c r="I107" s="389"/>
      <c r="J107" s="390" t="n">
        <f aca="false">D19</f>
        <v>0</v>
      </c>
    </row>
    <row r="108" customFormat="false" ht="15" hidden="true" customHeight="false" outlineLevel="0" collapsed="false">
      <c r="A108" s="387"/>
      <c r="B108" s="387"/>
      <c r="C108" s="387"/>
      <c r="D108" s="387"/>
      <c r="E108" s="391" t="n">
        <v>1</v>
      </c>
      <c r="F108" s="392" t="n">
        <f aca="false">F37*$J108</f>
        <v>0</v>
      </c>
      <c r="G108" s="392"/>
      <c r="H108" s="392" t="n">
        <f aca="false">H37*$J108</f>
        <v>0</v>
      </c>
      <c r="I108" s="392"/>
      <c r="J108" s="393" t="n">
        <f aca="false">D20</f>
        <v>0</v>
      </c>
    </row>
    <row r="109" customFormat="false" ht="15" hidden="true" customHeight="false" outlineLevel="0" collapsed="false">
      <c r="A109" s="387"/>
      <c r="B109" s="387"/>
      <c r="C109" s="387"/>
      <c r="D109" s="387"/>
      <c r="E109" s="391" t="n">
        <v>2</v>
      </c>
      <c r="F109" s="392" t="n">
        <f aca="false">F38*$J109</f>
        <v>0</v>
      </c>
      <c r="G109" s="392"/>
      <c r="H109" s="392" t="n">
        <f aca="false">H38*$J109</f>
        <v>0</v>
      </c>
      <c r="I109" s="392"/>
      <c r="J109" s="393" t="n">
        <f aca="false">D21</f>
        <v>0</v>
      </c>
    </row>
    <row r="110" customFormat="false" ht="15" hidden="true" customHeight="false" outlineLevel="0" collapsed="false">
      <c r="A110" s="387"/>
      <c r="B110" s="387"/>
      <c r="C110" s="387"/>
      <c r="D110" s="387"/>
      <c r="E110" s="391" t="n">
        <v>3</v>
      </c>
      <c r="F110" s="392" t="n">
        <f aca="false">F39*$J110</f>
        <v>0</v>
      </c>
      <c r="G110" s="392"/>
      <c r="H110" s="392" t="n">
        <f aca="false">H39*$J110</f>
        <v>0</v>
      </c>
      <c r="I110" s="392"/>
      <c r="J110" s="393" t="n">
        <f aca="false">D22</f>
        <v>0</v>
      </c>
    </row>
    <row r="111" customFormat="false" ht="15" hidden="true" customHeight="false" outlineLevel="0" collapsed="false">
      <c r="A111" s="387"/>
      <c r="B111" s="387"/>
      <c r="C111" s="387"/>
      <c r="D111" s="387"/>
      <c r="E111" s="391" t="n">
        <v>4</v>
      </c>
      <c r="F111" s="392" t="n">
        <f aca="false">F40*$J111</f>
        <v>0</v>
      </c>
      <c r="G111" s="392"/>
      <c r="H111" s="392" t="n">
        <f aca="false">H40*$J111</f>
        <v>0</v>
      </c>
      <c r="I111" s="392"/>
      <c r="J111" s="393" t="n">
        <f aca="false">D23</f>
        <v>0</v>
      </c>
    </row>
    <row r="112" customFormat="false" ht="15.75" hidden="true" customHeight="false" outlineLevel="0" collapsed="false">
      <c r="A112" s="387"/>
      <c r="B112" s="387"/>
      <c r="C112" s="387"/>
      <c r="D112" s="387"/>
      <c r="E112" s="394" t="n">
        <v>5</v>
      </c>
      <c r="F112" s="395" t="n">
        <f aca="false">F41*$J112</f>
        <v>0</v>
      </c>
      <c r="G112" s="395"/>
      <c r="H112" s="395" t="n">
        <f aca="false">H41*$J112</f>
        <v>0</v>
      </c>
      <c r="I112" s="395"/>
      <c r="J112" s="396" t="n">
        <f aca="false">D24</f>
        <v>0</v>
      </c>
    </row>
    <row r="113" customFormat="false" ht="15" hidden="true" customHeight="false" outlineLevel="0" collapsed="false">
      <c r="A113" s="387" t="s">
        <v>129</v>
      </c>
      <c r="B113" s="387"/>
      <c r="C113" s="387"/>
      <c r="D113" s="387"/>
      <c r="E113" s="388" t="n">
        <v>0</v>
      </c>
      <c r="F113" s="389" t="n">
        <f aca="false">F42*$J113</f>
        <v>0</v>
      </c>
      <c r="G113" s="389"/>
      <c r="H113" s="389" t="n">
        <f aca="false">H42*$J113</f>
        <v>0</v>
      </c>
      <c r="I113" s="389"/>
      <c r="J113" s="390" t="n">
        <f aca="false">D19</f>
        <v>0</v>
      </c>
    </row>
    <row r="114" customFormat="false" ht="15" hidden="true" customHeight="false" outlineLevel="0" collapsed="false">
      <c r="A114" s="387"/>
      <c r="B114" s="387"/>
      <c r="C114" s="387"/>
      <c r="D114" s="387"/>
      <c r="E114" s="391" t="n">
        <v>1</v>
      </c>
      <c r="F114" s="392" t="n">
        <f aca="false">F43*$J114</f>
        <v>0</v>
      </c>
      <c r="G114" s="392"/>
      <c r="H114" s="392" t="n">
        <f aca="false">H43*$J114</f>
        <v>0</v>
      </c>
      <c r="I114" s="392"/>
      <c r="J114" s="397" t="n">
        <f aca="false">D20</f>
        <v>0</v>
      </c>
    </row>
    <row r="115" customFormat="false" ht="15" hidden="true" customHeight="false" outlineLevel="0" collapsed="false">
      <c r="A115" s="387"/>
      <c r="B115" s="387"/>
      <c r="C115" s="387"/>
      <c r="D115" s="387"/>
      <c r="E115" s="391" t="n">
        <v>2</v>
      </c>
      <c r="F115" s="392" t="n">
        <f aca="false">F44*$J115</f>
        <v>0</v>
      </c>
      <c r="G115" s="392"/>
      <c r="H115" s="392" t="n">
        <f aca="false">H44*$J115</f>
        <v>0</v>
      </c>
      <c r="I115" s="392"/>
      <c r="J115" s="397" t="n">
        <f aca="false">D21</f>
        <v>0</v>
      </c>
    </row>
    <row r="116" customFormat="false" ht="15" hidden="true" customHeight="false" outlineLevel="0" collapsed="false">
      <c r="A116" s="387"/>
      <c r="B116" s="387"/>
      <c r="C116" s="387"/>
      <c r="D116" s="387"/>
      <c r="E116" s="391" t="n">
        <v>3</v>
      </c>
      <c r="F116" s="392" t="n">
        <f aca="false">F45*$J116</f>
        <v>0</v>
      </c>
      <c r="G116" s="392"/>
      <c r="H116" s="392" t="n">
        <f aca="false">H45*$J116</f>
        <v>0</v>
      </c>
      <c r="I116" s="392"/>
      <c r="J116" s="397" t="n">
        <f aca="false">D22</f>
        <v>0</v>
      </c>
    </row>
    <row r="117" customFormat="false" ht="15" hidden="true" customHeight="false" outlineLevel="0" collapsed="false">
      <c r="A117" s="387"/>
      <c r="B117" s="387"/>
      <c r="C117" s="387"/>
      <c r="D117" s="387"/>
      <c r="E117" s="391" t="n">
        <v>4</v>
      </c>
      <c r="F117" s="392" t="n">
        <f aca="false">F46*$J117</f>
        <v>0</v>
      </c>
      <c r="G117" s="392"/>
      <c r="H117" s="392" t="n">
        <f aca="false">H46*$J117</f>
        <v>0</v>
      </c>
      <c r="I117" s="392"/>
      <c r="J117" s="397" t="n">
        <f aca="false">D23</f>
        <v>0</v>
      </c>
    </row>
    <row r="118" customFormat="false" ht="15.75" hidden="true" customHeight="false" outlineLevel="0" collapsed="false">
      <c r="A118" s="387"/>
      <c r="B118" s="387"/>
      <c r="C118" s="387"/>
      <c r="D118" s="387"/>
      <c r="E118" s="394" t="n">
        <v>5</v>
      </c>
      <c r="F118" s="395" t="n">
        <f aca="false">F47*$J118</f>
        <v>0</v>
      </c>
      <c r="G118" s="395"/>
      <c r="H118" s="395" t="n">
        <f aca="false">H47*$J118</f>
        <v>0</v>
      </c>
      <c r="I118" s="395"/>
      <c r="J118" s="398" t="n">
        <f aca="false">D24</f>
        <v>0</v>
      </c>
    </row>
    <row r="119" customFormat="false" ht="15" hidden="true" customHeight="false" outlineLevel="0" collapsed="false">
      <c r="A119" s="387" t="s">
        <v>133</v>
      </c>
      <c r="B119" s="387"/>
      <c r="C119" s="387"/>
      <c r="D119" s="387"/>
      <c r="E119" s="388" t="n">
        <v>0</v>
      </c>
      <c r="F119" s="389" t="n">
        <f aca="false">F48*$J119</f>
        <v>0</v>
      </c>
      <c r="G119" s="389"/>
      <c r="H119" s="389" t="n">
        <f aca="false">H48*$J119</f>
        <v>0</v>
      </c>
      <c r="I119" s="389"/>
      <c r="J119" s="390" t="n">
        <f aca="false">E19</f>
        <v>0.0166666666666667</v>
      </c>
    </row>
    <row r="120" customFormat="false" ht="15" hidden="true" customHeight="false" outlineLevel="0" collapsed="false">
      <c r="A120" s="387"/>
      <c r="B120" s="387"/>
      <c r="C120" s="387"/>
      <c r="D120" s="387"/>
      <c r="E120" s="391" t="n">
        <v>1</v>
      </c>
      <c r="F120" s="392" t="n">
        <f aca="false">F49*$J120</f>
        <v>0</v>
      </c>
      <c r="G120" s="392"/>
      <c r="H120" s="392" t="n">
        <f aca="false">H49*$J120</f>
        <v>0</v>
      </c>
      <c r="I120" s="392"/>
      <c r="J120" s="397" t="n">
        <f aca="false">E20</f>
        <v>0.0145833333333333</v>
      </c>
    </row>
    <row r="121" customFormat="false" ht="15" hidden="true" customHeight="false" outlineLevel="0" collapsed="false">
      <c r="A121" s="387"/>
      <c r="B121" s="387"/>
      <c r="C121" s="387"/>
      <c r="D121" s="387"/>
      <c r="E121" s="391" t="n">
        <v>2</v>
      </c>
      <c r="F121" s="392" t="n">
        <f aca="false">F50*$J121</f>
        <v>0</v>
      </c>
      <c r="G121" s="392"/>
      <c r="H121" s="392" t="n">
        <f aca="false">H50*$J121</f>
        <v>0</v>
      </c>
      <c r="I121" s="392"/>
      <c r="J121" s="397" t="n">
        <f aca="false">E21</f>
        <v>0.0125</v>
      </c>
    </row>
    <row r="122" customFormat="false" ht="15" hidden="true" customHeight="false" outlineLevel="0" collapsed="false">
      <c r="A122" s="387"/>
      <c r="B122" s="387"/>
      <c r="C122" s="387"/>
      <c r="D122" s="387"/>
      <c r="E122" s="391" t="n">
        <v>3</v>
      </c>
      <c r="F122" s="392" t="n">
        <f aca="false">F51*$J122</f>
        <v>0</v>
      </c>
      <c r="G122" s="392"/>
      <c r="H122" s="392" t="n">
        <f aca="false">H51*$J122</f>
        <v>0</v>
      </c>
      <c r="I122" s="392"/>
      <c r="J122" s="397" t="n">
        <f aca="false">E22</f>
        <v>0.0104166666666667</v>
      </c>
    </row>
    <row r="123" customFormat="false" ht="15" hidden="true" customHeight="false" outlineLevel="0" collapsed="false">
      <c r="A123" s="387"/>
      <c r="B123" s="387"/>
      <c r="C123" s="387"/>
      <c r="D123" s="387"/>
      <c r="E123" s="391" t="n">
        <v>4</v>
      </c>
      <c r="F123" s="392" t="n">
        <f aca="false">F52*$J123</f>
        <v>0</v>
      </c>
      <c r="G123" s="392"/>
      <c r="H123" s="392" t="n">
        <f aca="false">H52*$J123</f>
        <v>0</v>
      </c>
      <c r="I123" s="392"/>
      <c r="J123" s="397" t="n">
        <f aca="false">E23</f>
        <v>0.00833333333333333</v>
      </c>
    </row>
    <row r="124" customFormat="false" ht="15" hidden="true" customHeight="false" outlineLevel="0" collapsed="false">
      <c r="A124" s="387"/>
      <c r="B124" s="387"/>
      <c r="C124" s="387"/>
      <c r="D124" s="387"/>
      <c r="E124" s="391" t="n">
        <v>5</v>
      </c>
      <c r="F124" s="392" t="n">
        <f aca="false">F53*$J124</f>
        <v>0</v>
      </c>
      <c r="G124" s="392"/>
      <c r="H124" s="392" t="n">
        <f aca="false">H53*$J124</f>
        <v>0</v>
      </c>
      <c r="I124" s="392"/>
      <c r="J124" s="397" t="n">
        <f aca="false">E24</f>
        <v>0.00625</v>
      </c>
    </row>
    <row r="125" customFormat="false" ht="15" hidden="true" customHeight="false" outlineLevel="0" collapsed="false">
      <c r="A125" s="387"/>
      <c r="B125" s="387"/>
      <c r="C125" s="387"/>
      <c r="D125" s="387"/>
      <c r="E125" s="391" t="n">
        <v>6</v>
      </c>
      <c r="F125" s="392" t="n">
        <f aca="false">F54*$J125</f>
        <v>0</v>
      </c>
      <c r="G125" s="392"/>
      <c r="H125" s="392" t="n">
        <f aca="false">H54*$J125</f>
        <v>0</v>
      </c>
      <c r="I125" s="392"/>
      <c r="J125" s="397" t="n">
        <f aca="false">E25</f>
        <v>0.00416666666666667</v>
      </c>
    </row>
    <row r="126" customFormat="false" ht="15" hidden="true" customHeight="false" outlineLevel="0" collapsed="false">
      <c r="A126" s="387"/>
      <c r="B126" s="387"/>
      <c r="C126" s="387"/>
      <c r="D126" s="387"/>
      <c r="E126" s="391" t="n">
        <v>7</v>
      </c>
      <c r="F126" s="392" t="n">
        <f aca="false">F55*$J126</f>
        <v>0</v>
      </c>
      <c r="G126" s="392"/>
      <c r="H126" s="392" t="n">
        <f aca="false">H55*$J126</f>
        <v>0</v>
      </c>
      <c r="I126" s="392"/>
      <c r="J126" s="397" t="n">
        <f aca="false">E26</f>
        <v>0.00208333333333333</v>
      </c>
    </row>
    <row r="127" customFormat="false" ht="15.75" hidden="true" customHeight="false" outlineLevel="0" collapsed="false">
      <c r="A127" s="387"/>
      <c r="B127" s="387"/>
      <c r="C127" s="387"/>
      <c r="D127" s="387"/>
      <c r="E127" s="394" t="n">
        <v>8</v>
      </c>
      <c r="F127" s="395" t="n">
        <f aca="false">F56*$J127</f>
        <v>0</v>
      </c>
      <c r="G127" s="395"/>
      <c r="H127" s="395" t="n">
        <f aca="false">H56*$J127</f>
        <v>0</v>
      </c>
      <c r="I127" s="395"/>
      <c r="J127" s="398" t="n">
        <f aca="false">E27</f>
        <v>0</v>
      </c>
    </row>
    <row r="128" customFormat="false" ht="15" hidden="false" customHeight="false" outlineLevel="0" collapsed="false">
      <c r="A128" s="387" t="s">
        <v>137</v>
      </c>
      <c r="B128" s="387"/>
      <c r="C128" s="387"/>
      <c r="D128" s="387"/>
      <c r="E128" s="388" t="n">
        <v>0</v>
      </c>
      <c r="F128" s="389" t="n">
        <f aca="false">F57*$J128</f>
        <v>0</v>
      </c>
      <c r="G128" s="389"/>
      <c r="H128" s="389" t="n">
        <f aca="false">H57*$J128</f>
        <v>0</v>
      </c>
      <c r="I128" s="389"/>
      <c r="J128" s="390" t="n">
        <f aca="false">E19</f>
        <v>0.0166666666666667</v>
      </c>
    </row>
    <row r="129" customFormat="false" ht="15" hidden="false" customHeight="false" outlineLevel="0" collapsed="false">
      <c r="A129" s="387"/>
      <c r="B129" s="387"/>
      <c r="C129" s="387"/>
      <c r="D129" s="387"/>
      <c r="E129" s="391" t="n">
        <v>1</v>
      </c>
      <c r="F129" s="392" t="n">
        <f aca="false">F58*$J129</f>
        <v>0</v>
      </c>
      <c r="G129" s="392"/>
      <c r="H129" s="392" t="n">
        <f aca="false">H58*$J129</f>
        <v>0</v>
      </c>
      <c r="I129" s="392"/>
      <c r="J129" s="397" t="n">
        <f aca="false">E20</f>
        <v>0.0145833333333333</v>
      </c>
    </row>
    <row r="130" customFormat="false" ht="15" hidden="false" customHeight="false" outlineLevel="0" collapsed="false">
      <c r="A130" s="387"/>
      <c r="B130" s="387"/>
      <c r="C130" s="387"/>
      <c r="D130" s="387"/>
      <c r="E130" s="391" t="n">
        <v>2</v>
      </c>
      <c r="F130" s="392" t="n">
        <f aca="false">F59*$J130</f>
        <v>0</v>
      </c>
      <c r="G130" s="392"/>
      <c r="H130" s="392" t="n">
        <f aca="false">H59*$J130</f>
        <v>0</v>
      </c>
      <c r="I130" s="392"/>
      <c r="J130" s="397" t="n">
        <f aca="false">E21</f>
        <v>0.0125</v>
      </c>
    </row>
    <row r="131" customFormat="false" ht="15" hidden="false" customHeight="false" outlineLevel="0" collapsed="false">
      <c r="A131" s="387"/>
      <c r="B131" s="387"/>
      <c r="C131" s="387"/>
      <c r="D131" s="387"/>
      <c r="E131" s="391" t="n">
        <v>3</v>
      </c>
      <c r="F131" s="392" t="n">
        <f aca="false">F60*$J131</f>
        <v>0</v>
      </c>
      <c r="G131" s="392"/>
      <c r="H131" s="392" t="n">
        <f aca="false">H60*$J131</f>
        <v>0</v>
      </c>
      <c r="I131" s="392"/>
      <c r="J131" s="397" t="n">
        <f aca="false">E22</f>
        <v>0.0104166666666667</v>
      </c>
    </row>
    <row r="132" customFormat="false" ht="15" hidden="false" customHeight="false" outlineLevel="0" collapsed="false">
      <c r="A132" s="387"/>
      <c r="B132" s="387"/>
      <c r="C132" s="387"/>
      <c r="D132" s="387"/>
      <c r="E132" s="391" t="n">
        <v>4</v>
      </c>
      <c r="F132" s="392" t="n">
        <f aca="false">F61*$J132</f>
        <v>0</v>
      </c>
      <c r="G132" s="392"/>
      <c r="H132" s="392" t="n">
        <f aca="false">H61*$J132</f>
        <v>0</v>
      </c>
      <c r="I132" s="392"/>
      <c r="J132" s="397" t="n">
        <f aca="false">E23</f>
        <v>0.00833333333333333</v>
      </c>
    </row>
    <row r="133" customFormat="false" ht="15" hidden="false" customHeight="false" outlineLevel="0" collapsed="false">
      <c r="A133" s="387"/>
      <c r="B133" s="387"/>
      <c r="C133" s="387"/>
      <c r="D133" s="387"/>
      <c r="E133" s="391" t="n">
        <v>5</v>
      </c>
      <c r="F133" s="392" t="n">
        <f aca="false">F62*$J133</f>
        <v>0.0125</v>
      </c>
      <c r="G133" s="392"/>
      <c r="H133" s="392" t="n">
        <f aca="false">H62*$J133</f>
        <v>0</v>
      </c>
      <c r="I133" s="392"/>
      <c r="J133" s="397" t="n">
        <f aca="false">E24</f>
        <v>0.00625</v>
      </c>
    </row>
    <row r="134" customFormat="false" ht="15" hidden="false" customHeight="false" outlineLevel="0" collapsed="false">
      <c r="A134" s="387"/>
      <c r="B134" s="387"/>
      <c r="C134" s="387"/>
      <c r="D134" s="387"/>
      <c r="E134" s="391" t="n">
        <v>6</v>
      </c>
      <c r="F134" s="392" t="n">
        <f aca="false">F63*$J134</f>
        <v>0</v>
      </c>
      <c r="G134" s="392"/>
      <c r="H134" s="392" t="n">
        <f aca="false">H63*$J134</f>
        <v>0.00833333333333333</v>
      </c>
      <c r="I134" s="392"/>
      <c r="J134" s="397" t="n">
        <f aca="false">E25</f>
        <v>0.00416666666666667</v>
      </c>
    </row>
    <row r="135" customFormat="false" ht="15" hidden="false" customHeight="false" outlineLevel="0" collapsed="false">
      <c r="A135" s="387"/>
      <c r="B135" s="387"/>
      <c r="C135" s="387"/>
      <c r="D135" s="387"/>
      <c r="E135" s="391" t="n">
        <v>7</v>
      </c>
      <c r="F135" s="392" t="n">
        <f aca="false">F64*$J135</f>
        <v>0</v>
      </c>
      <c r="G135" s="392"/>
      <c r="H135" s="392" t="n">
        <f aca="false">H64*$J135</f>
        <v>0</v>
      </c>
      <c r="I135" s="392"/>
      <c r="J135" s="397" t="n">
        <f aca="false">E26</f>
        <v>0.00208333333333333</v>
      </c>
    </row>
    <row r="136" customFormat="false" ht="15.75" hidden="false" customHeight="false" outlineLevel="0" collapsed="false">
      <c r="A136" s="387"/>
      <c r="B136" s="387"/>
      <c r="C136" s="387"/>
      <c r="D136" s="387"/>
      <c r="E136" s="394" t="n">
        <v>8</v>
      </c>
      <c r="F136" s="395" t="n">
        <f aca="false">F65*$J136</f>
        <v>0</v>
      </c>
      <c r="G136" s="395"/>
      <c r="H136" s="395" t="n">
        <f aca="false">H65*$J136</f>
        <v>0</v>
      </c>
      <c r="I136" s="395"/>
      <c r="J136" s="398" t="n">
        <f aca="false">E27</f>
        <v>0</v>
      </c>
    </row>
    <row r="137" customFormat="false" ht="15" hidden="true" customHeight="false" outlineLevel="0" collapsed="false">
      <c r="A137" s="387" t="s">
        <v>141</v>
      </c>
      <c r="B137" s="387"/>
      <c r="C137" s="387"/>
      <c r="D137" s="387"/>
      <c r="E137" s="388" t="n">
        <v>0</v>
      </c>
      <c r="F137" s="389" t="n">
        <f aca="false">F66*$J137</f>
        <v>0</v>
      </c>
      <c r="G137" s="389"/>
      <c r="H137" s="389" t="n">
        <f aca="false">H66*$J137</f>
        <v>0</v>
      </c>
      <c r="I137" s="389"/>
      <c r="J137" s="390" t="n">
        <f aca="false">F19</f>
        <v>0.0136363636363636</v>
      </c>
    </row>
    <row r="138" customFormat="false" ht="15" hidden="true" customHeight="false" outlineLevel="0" collapsed="false">
      <c r="A138" s="387"/>
      <c r="B138" s="387"/>
      <c r="C138" s="387"/>
      <c r="D138" s="387"/>
      <c r="E138" s="391" t="n">
        <v>1</v>
      </c>
      <c r="F138" s="392" t="n">
        <f aca="false">F67*$J138</f>
        <v>0</v>
      </c>
      <c r="G138" s="392"/>
      <c r="H138" s="392" t="n">
        <f aca="false">H67*$J138</f>
        <v>0</v>
      </c>
      <c r="I138" s="392"/>
      <c r="J138" s="397" t="n">
        <f aca="false">F20</f>
        <v>0.0122727272727273</v>
      </c>
    </row>
    <row r="139" customFormat="false" ht="15" hidden="true" customHeight="false" outlineLevel="0" collapsed="false">
      <c r="A139" s="387"/>
      <c r="B139" s="387"/>
      <c r="C139" s="387"/>
      <c r="D139" s="387"/>
      <c r="E139" s="391" t="n">
        <v>2</v>
      </c>
      <c r="F139" s="392" t="n">
        <f aca="false">F68*$J139</f>
        <v>0</v>
      </c>
      <c r="G139" s="392"/>
      <c r="H139" s="392" t="n">
        <f aca="false">H68*$J139</f>
        <v>0</v>
      </c>
      <c r="I139" s="392"/>
      <c r="J139" s="397" t="n">
        <f aca="false">F21</f>
        <v>0.0109090909090909</v>
      </c>
    </row>
    <row r="140" customFormat="false" ht="15" hidden="true" customHeight="false" outlineLevel="0" collapsed="false">
      <c r="A140" s="387"/>
      <c r="B140" s="387"/>
      <c r="C140" s="387"/>
      <c r="D140" s="387"/>
      <c r="E140" s="391" t="n">
        <v>3</v>
      </c>
      <c r="F140" s="392" t="n">
        <f aca="false">F69*$J140</f>
        <v>0</v>
      </c>
      <c r="G140" s="392"/>
      <c r="H140" s="392" t="n">
        <f aca="false">H69*$J140</f>
        <v>0</v>
      </c>
      <c r="I140" s="392"/>
      <c r="J140" s="397" t="n">
        <f aca="false">F22</f>
        <v>0.00954545454545455</v>
      </c>
    </row>
    <row r="141" customFormat="false" ht="15" hidden="true" customHeight="false" outlineLevel="0" collapsed="false">
      <c r="A141" s="387"/>
      <c r="B141" s="387"/>
      <c r="C141" s="387"/>
      <c r="D141" s="387"/>
      <c r="E141" s="391" t="n">
        <v>4</v>
      </c>
      <c r="F141" s="392" t="n">
        <f aca="false">F70*$J141</f>
        <v>0</v>
      </c>
      <c r="G141" s="392"/>
      <c r="H141" s="392" t="n">
        <f aca="false">H70*$J141</f>
        <v>0</v>
      </c>
      <c r="I141" s="392"/>
      <c r="J141" s="397" t="n">
        <f aca="false">F23</f>
        <v>0.00818181818181818</v>
      </c>
    </row>
    <row r="142" customFormat="false" ht="15" hidden="true" customHeight="false" outlineLevel="0" collapsed="false">
      <c r="A142" s="387"/>
      <c r="B142" s="387"/>
      <c r="C142" s="387"/>
      <c r="D142" s="387"/>
      <c r="E142" s="391" t="n">
        <v>5</v>
      </c>
      <c r="F142" s="392" t="n">
        <f aca="false">F71*$J142</f>
        <v>0</v>
      </c>
      <c r="G142" s="392"/>
      <c r="H142" s="392" t="n">
        <f aca="false">H71*$J142</f>
        <v>0</v>
      </c>
      <c r="I142" s="392"/>
      <c r="J142" s="397" t="n">
        <f aca="false">F24</f>
        <v>0.00681818181818182</v>
      </c>
    </row>
    <row r="143" customFormat="false" ht="15" hidden="true" customHeight="false" outlineLevel="0" collapsed="false">
      <c r="A143" s="387"/>
      <c r="B143" s="387"/>
      <c r="C143" s="387"/>
      <c r="D143" s="387"/>
      <c r="E143" s="391" t="n">
        <v>6</v>
      </c>
      <c r="F143" s="392" t="n">
        <f aca="false">F72*$J143</f>
        <v>0</v>
      </c>
      <c r="G143" s="392"/>
      <c r="H143" s="392" t="n">
        <f aca="false">H72*$J143</f>
        <v>0</v>
      </c>
      <c r="I143" s="392"/>
      <c r="J143" s="397" t="n">
        <f aca="false">F25</f>
        <v>0.00545454545454546</v>
      </c>
    </row>
    <row r="144" customFormat="false" ht="15" hidden="true" customHeight="false" outlineLevel="0" collapsed="false">
      <c r="A144" s="387"/>
      <c r="B144" s="387"/>
      <c r="C144" s="387"/>
      <c r="D144" s="387"/>
      <c r="E144" s="391" t="n">
        <v>7</v>
      </c>
      <c r="F144" s="392" t="n">
        <f aca="false">F73*$J144</f>
        <v>0</v>
      </c>
      <c r="G144" s="392"/>
      <c r="H144" s="392" t="n">
        <f aca="false">H73*$J144</f>
        <v>0</v>
      </c>
      <c r="I144" s="392"/>
      <c r="J144" s="397" t="n">
        <f aca="false">F26</f>
        <v>0.00409090909090909</v>
      </c>
    </row>
    <row r="145" customFormat="false" ht="15" hidden="true" customHeight="false" outlineLevel="0" collapsed="false">
      <c r="A145" s="387"/>
      <c r="B145" s="387"/>
      <c r="C145" s="387"/>
      <c r="D145" s="387"/>
      <c r="E145" s="391" t="n">
        <v>8</v>
      </c>
      <c r="F145" s="392" t="n">
        <f aca="false">F74*$J145</f>
        <v>0</v>
      </c>
      <c r="G145" s="392"/>
      <c r="H145" s="392" t="n">
        <f aca="false">H74*$J145</f>
        <v>0</v>
      </c>
      <c r="I145" s="392"/>
      <c r="J145" s="397" t="n">
        <f aca="false">F27</f>
        <v>0.00272727272727273</v>
      </c>
    </row>
    <row r="146" customFormat="false" ht="15" hidden="true" customHeight="false" outlineLevel="0" collapsed="false">
      <c r="A146" s="387"/>
      <c r="B146" s="387"/>
      <c r="C146" s="387"/>
      <c r="D146" s="387"/>
      <c r="E146" s="391" t="n">
        <v>9</v>
      </c>
      <c r="F146" s="392" t="n">
        <f aca="false">F75*$J146</f>
        <v>0</v>
      </c>
      <c r="G146" s="392"/>
      <c r="H146" s="392" t="n">
        <f aca="false">H75*$J146</f>
        <v>0</v>
      </c>
      <c r="I146" s="392"/>
      <c r="J146" s="397" t="n">
        <f aca="false">F28</f>
        <v>0.00136363636363636</v>
      </c>
    </row>
    <row r="147" customFormat="false" ht="15.75" hidden="true" customHeight="false" outlineLevel="0" collapsed="false">
      <c r="A147" s="387"/>
      <c r="B147" s="387"/>
      <c r="C147" s="387"/>
      <c r="D147" s="387"/>
      <c r="E147" s="394" t="n">
        <v>10</v>
      </c>
      <c r="F147" s="395" t="n">
        <f aca="false">F76*$J147</f>
        <v>0</v>
      </c>
      <c r="G147" s="395"/>
      <c r="H147" s="395" t="n">
        <f aca="false">H76*$J147</f>
        <v>0</v>
      </c>
      <c r="I147" s="395"/>
      <c r="J147" s="398" t="n">
        <f aca="false">F29</f>
        <v>0</v>
      </c>
    </row>
    <row r="148" customFormat="false" ht="15" hidden="true" customHeight="false" outlineLevel="0" collapsed="false">
      <c r="A148" s="387" t="s">
        <v>143</v>
      </c>
      <c r="B148" s="387"/>
      <c r="C148" s="387"/>
      <c r="D148" s="387"/>
      <c r="E148" s="388" t="n">
        <v>0</v>
      </c>
      <c r="F148" s="389" t="n">
        <f aca="false">F77*$J148</f>
        <v>0</v>
      </c>
      <c r="G148" s="389" t="n">
        <f aca="false">G77*$J148</f>
        <v>0</v>
      </c>
      <c r="H148" s="389" t="n">
        <f aca="false">H77*$J148</f>
        <v>0</v>
      </c>
      <c r="I148" s="389" t="n">
        <f aca="false">I77*$J148</f>
        <v>0</v>
      </c>
      <c r="J148" s="390" t="n">
        <f aca="false">G19</f>
        <v>0</v>
      </c>
    </row>
    <row r="149" customFormat="false" ht="15" hidden="true" customHeight="false" outlineLevel="0" collapsed="false">
      <c r="A149" s="387"/>
      <c r="B149" s="387"/>
      <c r="C149" s="387"/>
      <c r="D149" s="387"/>
      <c r="E149" s="391" t="n">
        <v>1</v>
      </c>
      <c r="F149" s="392" t="n">
        <f aca="false">F78*$J149</f>
        <v>0</v>
      </c>
      <c r="G149" s="392" t="n">
        <f aca="false">G78*$J149</f>
        <v>0</v>
      </c>
      <c r="H149" s="392" t="n">
        <f aca="false">H78*$J149</f>
        <v>0</v>
      </c>
      <c r="I149" s="392" t="n">
        <f aca="false">I78*$J149</f>
        <v>0</v>
      </c>
      <c r="J149" s="397" t="n">
        <f aca="false">G20</f>
        <v>0</v>
      </c>
    </row>
    <row r="150" customFormat="false" ht="15" hidden="true" customHeight="false" outlineLevel="0" collapsed="false">
      <c r="A150" s="387"/>
      <c r="B150" s="387"/>
      <c r="C150" s="387"/>
      <c r="D150" s="387"/>
      <c r="E150" s="391" t="n">
        <v>2</v>
      </c>
      <c r="F150" s="392" t="n">
        <f aca="false">F79*$J150</f>
        <v>0</v>
      </c>
      <c r="G150" s="392" t="n">
        <f aca="false">G79*$J150</f>
        <v>0</v>
      </c>
      <c r="H150" s="392" t="n">
        <f aca="false">H79*$J150</f>
        <v>0</v>
      </c>
      <c r="I150" s="392" t="n">
        <f aca="false">I79*$J150</f>
        <v>0</v>
      </c>
      <c r="J150" s="397" t="n">
        <f aca="false">G21</f>
        <v>0</v>
      </c>
    </row>
    <row r="151" customFormat="false" ht="15" hidden="true" customHeight="false" outlineLevel="0" collapsed="false">
      <c r="A151" s="387"/>
      <c r="B151" s="387"/>
      <c r="C151" s="387"/>
      <c r="D151" s="387"/>
      <c r="E151" s="391" t="n">
        <v>3</v>
      </c>
      <c r="F151" s="392" t="n">
        <f aca="false">F80*$J151</f>
        <v>0</v>
      </c>
      <c r="G151" s="392" t="n">
        <f aca="false">G80*$J151</f>
        <v>0</v>
      </c>
      <c r="H151" s="392" t="n">
        <f aca="false">H80*$J151</f>
        <v>0</v>
      </c>
      <c r="I151" s="392" t="n">
        <f aca="false">I80*$J151</f>
        <v>0</v>
      </c>
      <c r="J151" s="397" t="n">
        <f aca="false">G22</f>
        <v>0</v>
      </c>
    </row>
    <row r="152" customFormat="false" ht="15" hidden="true" customHeight="false" outlineLevel="0" collapsed="false">
      <c r="A152" s="387"/>
      <c r="B152" s="387"/>
      <c r="C152" s="387"/>
      <c r="D152" s="387"/>
      <c r="E152" s="391" t="n">
        <v>4</v>
      </c>
      <c r="F152" s="392" t="n">
        <f aca="false">F81*$J152</f>
        <v>0</v>
      </c>
      <c r="G152" s="392" t="n">
        <f aca="false">G81*$J152</f>
        <v>0</v>
      </c>
      <c r="H152" s="392" t="n">
        <f aca="false">H81*$J152</f>
        <v>0</v>
      </c>
      <c r="I152" s="392" t="n">
        <f aca="false">I81*$J152</f>
        <v>0</v>
      </c>
      <c r="J152" s="397" t="n">
        <f aca="false">G23</f>
        <v>0</v>
      </c>
    </row>
    <row r="153" customFormat="false" ht="15" hidden="true" customHeight="false" outlineLevel="0" collapsed="false">
      <c r="A153" s="387"/>
      <c r="B153" s="387"/>
      <c r="C153" s="387"/>
      <c r="D153" s="387"/>
      <c r="E153" s="391" t="n">
        <v>5</v>
      </c>
      <c r="F153" s="392" t="n">
        <f aca="false">F82*$J153</f>
        <v>0</v>
      </c>
      <c r="G153" s="392" t="n">
        <f aca="false">G82*$J153</f>
        <v>0</v>
      </c>
      <c r="H153" s="392" t="n">
        <f aca="false">H82*$J153</f>
        <v>0</v>
      </c>
      <c r="I153" s="392" t="n">
        <f aca="false">I82*$J153</f>
        <v>0</v>
      </c>
      <c r="J153" s="397" t="n">
        <f aca="false">G24</f>
        <v>0</v>
      </c>
    </row>
    <row r="154" customFormat="false" ht="15" hidden="true" customHeight="false" outlineLevel="0" collapsed="false">
      <c r="A154" s="387"/>
      <c r="B154" s="387"/>
      <c r="C154" s="387"/>
      <c r="D154" s="387"/>
      <c r="E154" s="391" t="n">
        <v>6</v>
      </c>
      <c r="F154" s="392" t="n">
        <f aca="false">F83*$J154</f>
        <v>0</v>
      </c>
      <c r="G154" s="392" t="n">
        <f aca="false">G83*$J154</f>
        <v>0</v>
      </c>
      <c r="H154" s="392" t="n">
        <f aca="false">H83*$J154</f>
        <v>0</v>
      </c>
      <c r="I154" s="392" t="n">
        <f aca="false">I83*$J154</f>
        <v>0</v>
      </c>
      <c r="J154" s="397" t="n">
        <f aca="false">G25</f>
        <v>0</v>
      </c>
    </row>
    <row r="155" customFormat="false" ht="15" hidden="true" customHeight="false" outlineLevel="0" collapsed="false">
      <c r="A155" s="387"/>
      <c r="B155" s="387"/>
      <c r="C155" s="387"/>
      <c r="D155" s="387"/>
      <c r="E155" s="391" t="n">
        <v>7</v>
      </c>
      <c r="F155" s="392" t="n">
        <f aca="false">F84*$J155</f>
        <v>0</v>
      </c>
      <c r="G155" s="392" t="n">
        <f aca="false">G84*$J155</f>
        <v>0</v>
      </c>
      <c r="H155" s="392" t="n">
        <f aca="false">H84*$J155</f>
        <v>0</v>
      </c>
      <c r="I155" s="392" t="n">
        <f aca="false">I84*$J155</f>
        <v>0</v>
      </c>
      <c r="J155" s="397" t="n">
        <f aca="false">G26</f>
        <v>0</v>
      </c>
    </row>
    <row r="156" customFormat="false" ht="15" hidden="true" customHeight="false" outlineLevel="0" collapsed="false">
      <c r="A156" s="387"/>
      <c r="B156" s="387"/>
      <c r="C156" s="387"/>
      <c r="D156" s="387"/>
      <c r="E156" s="391" t="n">
        <v>8</v>
      </c>
      <c r="F156" s="392" t="n">
        <f aca="false">F85*$J156</f>
        <v>0</v>
      </c>
      <c r="G156" s="392" t="n">
        <f aca="false">G85*$J156</f>
        <v>0</v>
      </c>
      <c r="H156" s="392" t="n">
        <f aca="false">H85*$J156</f>
        <v>0</v>
      </c>
      <c r="I156" s="392" t="n">
        <f aca="false">I85*$J156</f>
        <v>0</v>
      </c>
      <c r="J156" s="397" t="n">
        <f aca="false">G27</f>
        <v>0</v>
      </c>
    </row>
    <row r="157" customFormat="false" ht="15" hidden="true" customHeight="false" outlineLevel="0" collapsed="false">
      <c r="A157" s="387"/>
      <c r="B157" s="387"/>
      <c r="C157" s="387"/>
      <c r="D157" s="387"/>
      <c r="E157" s="391" t="n">
        <v>9</v>
      </c>
      <c r="F157" s="392" t="n">
        <f aca="false">F86*$J157</f>
        <v>0</v>
      </c>
      <c r="G157" s="392" t="n">
        <f aca="false">G86*$J157</f>
        <v>0</v>
      </c>
      <c r="H157" s="392" t="n">
        <f aca="false">H86*$J157</f>
        <v>0</v>
      </c>
      <c r="I157" s="392" t="n">
        <f aca="false">I86*$J157</f>
        <v>0</v>
      </c>
      <c r="J157" s="397" t="n">
        <f aca="false">G28</f>
        <v>0</v>
      </c>
    </row>
    <row r="158" customFormat="false" ht="15" hidden="true" customHeight="false" outlineLevel="0" collapsed="false">
      <c r="A158" s="387"/>
      <c r="B158" s="387"/>
      <c r="C158" s="387"/>
      <c r="D158" s="387"/>
      <c r="E158" s="391" t="n">
        <v>10</v>
      </c>
      <c r="F158" s="392" t="n">
        <f aca="false">F87*$J158</f>
        <v>0</v>
      </c>
      <c r="G158" s="392" t="n">
        <f aca="false">G87*$J158</f>
        <v>0</v>
      </c>
      <c r="H158" s="392" t="n">
        <f aca="false">H87*$J158</f>
        <v>0</v>
      </c>
      <c r="I158" s="392" t="n">
        <f aca="false">I87*$J158</f>
        <v>0</v>
      </c>
      <c r="J158" s="397" t="n">
        <f aca="false">G29</f>
        <v>0</v>
      </c>
    </row>
    <row r="159" customFormat="false" ht="15" hidden="true" customHeight="false" outlineLevel="0" collapsed="false">
      <c r="A159" s="387"/>
      <c r="B159" s="387"/>
      <c r="C159" s="387"/>
      <c r="D159" s="387"/>
      <c r="E159" s="391" t="n">
        <v>11</v>
      </c>
      <c r="F159" s="392" t="n">
        <f aca="false">F88*$J159</f>
        <v>0</v>
      </c>
      <c r="G159" s="392" t="n">
        <f aca="false">G88*$J159</f>
        <v>0</v>
      </c>
      <c r="H159" s="392" t="n">
        <f aca="false">H88*$J159</f>
        <v>0</v>
      </c>
      <c r="I159" s="392" t="n">
        <f aca="false">I88*$J159</f>
        <v>0</v>
      </c>
      <c r="J159" s="397" t="n">
        <f aca="false">G30</f>
        <v>0</v>
      </c>
    </row>
    <row r="160" customFormat="false" ht="15.75" hidden="true" customHeight="false" outlineLevel="0" collapsed="false">
      <c r="A160" s="387"/>
      <c r="B160" s="387"/>
      <c r="C160" s="387"/>
      <c r="D160" s="387"/>
      <c r="E160" s="394" t="n">
        <v>12</v>
      </c>
      <c r="F160" s="395" t="n">
        <f aca="false">F89*$J160</f>
        <v>0</v>
      </c>
      <c r="G160" s="395" t="n">
        <f aca="false">G89*$J160</f>
        <v>0</v>
      </c>
      <c r="H160" s="395" t="n">
        <f aca="false">H89*$J160</f>
        <v>0</v>
      </c>
      <c r="I160" s="395" t="n">
        <f aca="false">I89*$J160</f>
        <v>0</v>
      </c>
      <c r="J160" s="398" t="n">
        <f aca="false">G31</f>
        <v>0</v>
      </c>
    </row>
    <row r="161" customFormat="false" ht="15" hidden="true" customHeight="false" outlineLevel="0" collapsed="false">
      <c r="A161" s="387" t="s">
        <v>147</v>
      </c>
      <c r="B161" s="387"/>
      <c r="C161" s="387"/>
      <c r="D161" s="387"/>
      <c r="E161" s="388" t="n">
        <v>0</v>
      </c>
      <c r="F161" s="389" t="n">
        <f aca="false">F90*$J161</f>
        <v>0</v>
      </c>
      <c r="G161" s="389" t="n">
        <f aca="false">G90*$J161</f>
        <v>0</v>
      </c>
      <c r="H161" s="389" t="n">
        <f aca="false">H90*$J161</f>
        <v>0</v>
      </c>
      <c r="I161" s="389" t="n">
        <f aca="false">I90*$J161</f>
        <v>0</v>
      </c>
      <c r="J161" s="390" t="n">
        <f aca="false">G19</f>
        <v>0</v>
      </c>
    </row>
    <row r="162" customFormat="false" ht="15" hidden="true" customHeight="false" outlineLevel="0" collapsed="false">
      <c r="A162" s="387"/>
      <c r="B162" s="387"/>
      <c r="C162" s="387"/>
      <c r="D162" s="387"/>
      <c r="E162" s="391" t="n">
        <v>1</v>
      </c>
      <c r="F162" s="392" t="n">
        <f aca="false">F91*$J162</f>
        <v>0</v>
      </c>
      <c r="G162" s="392" t="n">
        <f aca="false">G91*$J162</f>
        <v>0</v>
      </c>
      <c r="H162" s="392" t="n">
        <f aca="false">H91*$J162</f>
        <v>0</v>
      </c>
      <c r="I162" s="392" t="n">
        <f aca="false">I91*$J162</f>
        <v>0</v>
      </c>
      <c r="J162" s="397" t="n">
        <f aca="false">G20</f>
        <v>0</v>
      </c>
    </row>
    <row r="163" customFormat="false" ht="15" hidden="true" customHeight="false" outlineLevel="0" collapsed="false">
      <c r="A163" s="387"/>
      <c r="B163" s="387"/>
      <c r="C163" s="387"/>
      <c r="D163" s="387"/>
      <c r="E163" s="391" t="n">
        <v>2</v>
      </c>
      <c r="F163" s="392" t="n">
        <f aca="false">F92*$J163</f>
        <v>0</v>
      </c>
      <c r="G163" s="392" t="n">
        <f aca="false">G92*$J163</f>
        <v>0</v>
      </c>
      <c r="H163" s="392" t="n">
        <f aca="false">H92*$J163</f>
        <v>0</v>
      </c>
      <c r="I163" s="392" t="n">
        <f aca="false">I92*$J163</f>
        <v>0</v>
      </c>
      <c r="J163" s="397" t="n">
        <f aca="false">G21</f>
        <v>0</v>
      </c>
    </row>
    <row r="164" customFormat="false" ht="15" hidden="true" customHeight="false" outlineLevel="0" collapsed="false">
      <c r="A164" s="387"/>
      <c r="B164" s="387"/>
      <c r="C164" s="387"/>
      <c r="D164" s="387"/>
      <c r="E164" s="391" t="n">
        <v>3</v>
      </c>
      <c r="F164" s="392" t="n">
        <f aca="false">F93*$J164</f>
        <v>0</v>
      </c>
      <c r="G164" s="392" t="n">
        <f aca="false">G93*$J164</f>
        <v>0</v>
      </c>
      <c r="H164" s="392" t="n">
        <f aca="false">H93*$J164</f>
        <v>0</v>
      </c>
      <c r="I164" s="392" t="n">
        <f aca="false">I93*$J164</f>
        <v>0</v>
      </c>
      <c r="J164" s="397" t="n">
        <f aca="false">G22</f>
        <v>0</v>
      </c>
    </row>
    <row r="165" customFormat="false" ht="15" hidden="true" customHeight="false" outlineLevel="0" collapsed="false">
      <c r="A165" s="387"/>
      <c r="B165" s="387"/>
      <c r="C165" s="387"/>
      <c r="D165" s="387"/>
      <c r="E165" s="391" t="n">
        <v>4</v>
      </c>
      <c r="F165" s="392" t="n">
        <f aca="false">F94*$J165</f>
        <v>0</v>
      </c>
      <c r="G165" s="392" t="n">
        <f aca="false">G94*$J165</f>
        <v>0</v>
      </c>
      <c r="H165" s="392" t="n">
        <f aca="false">H94*$J165</f>
        <v>0</v>
      </c>
      <c r="I165" s="392" t="n">
        <f aca="false">I94*$J165</f>
        <v>0</v>
      </c>
      <c r="J165" s="397" t="n">
        <f aca="false">G23</f>
        <v>0</v>
      </c>
    </row>
    <row r="166" customFormat="false" ht="15" hidden="true" customHeight="false" outlineLevel="0" collapsed="false">
      <c r="A166" s="387"/>
      <c r="B166" s="387"/>
      <c r="C166" s="387"/>
      <c r="D166" s="387"/>
      <c r="E166" s="391" t="n">
        <v>5</v>
      </c>
      <c r="F166" s="392" t="n">
        <f aca="false">F95*$J166</f>
        <v>0</v>
      </c>
      <c r="G166" s="392" t="n">
        <f aca="false">G95*$J166</f>
        <v>0</v>
      </c>
      <c r="H166" s="392" t="n">
        <f aca="false">H95*$J166</f>
        <v>0</v>
      </c>
      <c r="I166" s="392" t="n">
        <f aca="false">I95*$J166</f>
        <v>0</v>
      </c>
      <c r="J166" s="397" t="n">
        <f aca="false">G24</f>
        <v>0</v>
      </c>
    </row>
    <row r="167" customFormat="false" ht="15" hidden="true" customHeight="false" outlineLevel="0" collapsed="false">
      <c r="A167" s="387"/>
      <c r="B167" s="387"/>
      <c r="C167" s="387"/>
      <c r="D167" s="387"/>
      <c r="E167" s="391" t="n">
        <v>6</v>
      </c>
      <c r="F167" s="392" t="n">
        <f aca="false">F96*$J167</f>
        <v>0</v>
      </c>
      <c r="G167" s="392" t="n">
        <f aca="false">G96*$J167</f>
        <v>0</v>
      </c>
      <c r="H167" s="392" t="n">
        <f aca="false">H96*$J167</f>
        <v>0</v>
      </c>
      <c r="I167" s="392" t="n">
        <f aca="false">I96*$J167</f>
        <v>0</v>
      </c>
      <c r="J167" s="397" t="n">
        <f aca="false">G25</f>
        <v>0</v>
      </c>
    </row>
    <row r="168" customFormat="false" ht="15" hidden="true" customHeight="false" outlineLevel="0" collapsed="false">
      <c r="A168" s="387"/>
      <c r="B168" s="387"/>
      <c r="C168" s="387"/>
      <c r="D168" s="387"/>
      <c r="E168" s="391" t="n">
        <v>7</v>
      </c>
      <c r="F168" s="392" t="n">
        <f aca="false">F97*$J168</f>
        <v>0</v>
      </c>
      <c r="G168" s="392" t="n">
        <f aca="false">G97*$J168</f>
        <v>0</v>
      </c>
      <c r="H168" s="392" t="n">
        <f aca="false">H97*$J168</f>
        <v>0</v>
      </c>
      <c r="I168" s="392" t="n">
        <f aca="false">I97*$J168</f>
        <v>0</v>
      </c>
      <c r="J168" s="397" t="n">
        <f aca="false">G26</f>
        <v>0</v>
      </c>
    </row>
    <row r="169" customFormat="false" ht="15" hidden="true" customHeight="false" outlineLevel="0" collapsed="false">
      <c r="A169" s="387"/>
      <c r="B169" s="387"/>
      <c r="C169" s="387"/>
      <c r="D169" s="387"/>
      <c r="E169" s="391" t="n">
        <v>8</v>
      </c>
      <c r="F169" s="392" t="n">
        <f aca="false">F98*$J169</f>
        <v>0</v>
      </c>
      <c r="G169" s="392" t="n">
        <f aca="false">G98*$J169</f>
        <v>0</v>
      </c>
      <c r="H169" s="392" t="n">
        <f aca="false">H98*$J169</f>
        <v>0</v>
      </c>
      <c r="I169" s="392" t="n">
        <f aca="false">I98*$J169</f>
        <v>0</v>
      </c>
      <c r="J169" s="397" t="n">
        <f aca="false">G27</f>
        <v>0</v>
      </c>
    </row>
    <row r="170" customFormat="false" ht="15" hidden="true" customHeight="false" outlineLevel="0" collapsed="false">
      <c r="A170" s="387"/>
      <c r="B170" s="387"/>
      <c r="C170" s="387"/>
      <c r="D170" s="387"/>
      <c r="E170" s="391" t="n">
        <v>9</v>
      </c>
      <c r="F170" s="392" t="n">
        <f aca="false">F99*$J170</f>
        <v>0</v>
      </c>
      <c r="G170" s="392" t="n">
        <f aca="false">G99*$J170</f>
        <v>0</v>
      </c>
      <c r="H170" s="392" t="n">
        <f aca="false">H99*$J170</f>
        <v>0</v>
      </c>
      <c r="I170" s="392" t="n">
        <f aca="false">I99*$J170</f>
        <v>0</v>
      </c>
      <c r="J170" s="397" t="n">
        <f aca="false">G28</f>
        <v>0</v>
      </c>
    </row>
    <row r="171" customFormat="false" ht="15" hidden="true" customHeight="false" outlineLevel="0" collapsed="false">
      <c r="A171" s="387"/>
      <c r="B171" s="387"/>
      <c r="C171" s="387"/>
      <c r="D171" s="387"/>
      <c r="E171" s="391" t="n">
        <v>10</v>
      </c>
      <c r="F171" s="392" t="n">
        <f aca="false">F100*$J171</f>
        <v>0</v>
      </c>
      <c r="G171" s="392" t="n">
        <f aca="false">G100*$J171</f>
        <v>0</v>
      </c>
      <c r="H171" s="392" t="n">
        <f aca="false">H100*$J171</f>
        <v>0</v>
      </c>
      <c r="I171" s="392" t="n">
        <f aca="false">I100*$J171</f>
        <v>0</v>
      </c>
      <c r="J171" s="397" t="n">
        <f aca="false">G29</f>
        <v>0</v>
      </c>
    </row>
    <row r="172" customFormat="false" ht="15" hidden="true" customHeight="false" outlineLevel="0" collapsed="false">
      <c r="A172" s="387"/>
      <c r="B172" s="387"/>
      <c r="C172" s="387"/>
      <c r="D172" s="387"/>
      <c r="E172" s="391" t="n">
        <v>11</v>
      </c>
      <c r="F172" s="392" t="n">
        <f aca="false">F101*$J172</f>
        <v>0</v>
      </c>
      <c r="G172" s="392" t="n">
        <f aca="false">G101*$J172</f>
        <v>0</v>
      </c>
      <c r="H172" s="392" t="n">
        <f aca="false">H101*$J172</f>
        <v>0</v>
      </c>
      <c r="I172" s="392" t="n">
        <f aca="false">I101*$J172</f>
        <v>0</v>
      </c>
      <c r="J172" s="397" t="n">
        <f aca="false">G30</f>
        <v>0</v>
      </c>
    </row>
    <row r="173" customFormat="false" ht="15.75" hidden="true" customHeight="false" outlineLevel="0" collapsed="false">
      <c r="A173" s="387"/>
      <c r="B173" s="387"/>
      <c r="C173" s="387"/>
      <c r="D173" s="387"/>
      <c r="E173" s="394" t="n">
        <v>12</v>
      </c>
      <c r="F173" s="395" t="n">
        <f aca="false">F102*$J173</f>
        <v>0</v>
      </c>
      <c r="G173" s="395" t="n">
        <f aca="false">G102*$J173</f>
        <v>0</v>
      </c>
      <c r="H173" s="395" t="n">
        <f aca="false">H102*$J173</f>
        <v>0</v>
      </c>
      <c r="I173" s="395" t="n">
        <f aca="false">I102*$J173</f>
        <v>0</v>
      </c>
      <c r="J173" s="398" t="n">
        <f aca="false">G31</f>
        <v>0</v>
      </c>
    </row>
    <row r="175" customFormat="false" ht="15.75" hidden="false" customHeight="false" outlineLevel="0" collapsed="false">
      <c r="A175" s="48" t="s">
        <v>653</v>
      </c>
      <c r="B175" s="48" t="s">
        <v>654</v>
      </c>
    </row>
    <row r="176" customFormat="false" ht="15" hidden="false" customHeight="false" outlineLevel="0" collapsed="false">
      <c r="A176" s="399" t="s">
        <v>153</v>
      </c>
      <c r="B176" s="399"/>
      <c r="C176" s="399"/>
      <c r="D176" s="399"/>
      <c r="E176" s="400" t="s">
        <v>161</v>
      </c>
      <c r="F176" s="400" t="s">
        <v>154</v>
      </c>
      <c r="G176" s="400"/>
      <c r="H176" s="401" t="s">
        <v>155</v>
      </c>
      <c r="I176" s="401"/>
      <c r="J176" s="402"/>
    </row>
    <row r="177" customFormat="false" ht="15" hidden="false" customHeight="false" outlineLevel="0" collapsed="false">
      <c r="A177" s="399"/>
      <c r="B177" s="399"/>
      <c r="C177" s="399"/>
      <c r="D177" s="399"/>
      <c r="E177" s="400"/>
      <c r="F177" s="118" t="s">
        <v>156</v>
      </c>
      <c r="G177" s="118" t="s">
        <v>157</v>
      </c>
      <c r="H177" s="118" t="s">
        <v>156</v>
      </c>
      <c r="I177" s="403" t="s">
        <v>157</v>
      </c>
      <c r="J177" s="402"/>
    </row>
    <row r="178" customFormat="false" ht="15" hidden="true" customHeight="false" outlineLevel="0" collapsed="false">
      <c r="A178" s="404" t="s">
        <v>162</v>
      </c>
      <c r="B178" s="404"/>
      <c r="C178" s="404"/>
      <c r="D178" s="404"/>
      <c r="E178" s="405" t="n">
        <v>0</v>
      </c>
      <c r="F178" s="406" t="str">
        <f aca="false">IFERROR(F107*'2.1.b Veículos'!D$48,"")</f>
        <v/>
      </c>
      <c r="G178" s="406" t="str">
        <f aca="false">IFERROR(G107*'2.1.b Veículos'!E$48,"")</f>
        <v/>
      </c>
      <c r="H178" s="406" t="str">
        <f aca="false">IFERROR(H107*'2.1.b Veículos'!F$48,"")</f>
        <v/>
      </c>
      <c r="I178" s="406" t="str">
        <f aca="false">IFERROR(I107*'2.1.b Veículos'!G$48,"")</f>
        <v/>
      </c>
      <c r="J178" s="407"/>
    </row>
    <row r="179" customFormat="false" ht="15" hidden="true" customHeight="false" outlineLevel="0" collapsed="false">
      <c r="A179" s="404"/>
      <c r="B179" s="404"/>
      <c r="C179" s="404"/>
      <c r="D179" s="404"/>
      <c r="E179" s="391" t="n">
        <v>1</v>
      </c>
      <c r="F179" s="406" t="str">
        <f aca="false">IFERROR(F108*'2.1.b Veículos'!D$48,"")</f>
        <v/>
      </c>
      <c r="G179" s="406" t="str">
        <f aca="false">IFERROR(G108*'2.1.b Veículos'!E$48,"")</f>
        <v/>
      </c>
      <c r="H179" s="406" t="str">
        <f aca="false">IFERROR(H108*'2.1.b Veículos'!F$48,"")</f>
        <v/>
      </c>
      <c r="I179" s="406" t="str">
        <f aca="false">IFERROR(I108*'2.1.b Veículos'!G$48,"")</f>
        <v/>
      </c>
      <c r="J179" s="407"/>
    </row>
    <row r="180" customFormat="false" ht="15" hidden="true" customHeight="false" outlineLevel="0" collapsed="false">
      <c r="A180" s="404"/>
      <c r="B180" s="404"/>
      <c r="C180" s="404"/>
      <c r="D180" s="404"/>
      <c r="E180" s="391" t="n">
        <v>2</v>
      </c>
      <c r="F180" s="406" t="str">
        <f aca="false">IFERROR(F109*'2.1.b Veículos'!D$48,"")</f>
        <v/>
      </c>
      <c r="G180" s="406" t="str">
        <f aca="false">IFERROR(G109*'2.1.b Veículos'!E$48,"")</f>
        <v/>
      </c>
      <c r="H180" s="406" t="str">
        <f aca="false">IFERROR(H109*'2.1.b Veículos'!F$48,"")</f>
        <v/>
      </c>
      <c r="I180" s="406" t="str">
        <f aca="false">IFERROR(I109*'2.1.b Veículos'!G$48,"")</f>
        <v/>
      </c>
      <c r="J180" s="407"/>
    </row>
    <row r="181" customFormat="false" ht="15" hidden="true" customHeight="false" outlineLevel="0" collapsed="false">
      <c r="A181" s="404"/>
      <c r="B181" s="404"/>
      <c r="C181" s="404"/>
      <c r="D181" s="404"/>
      <c r="E181" s="391" t="n">
        <v>3</v>
      </c>
      <c r="F181" s="406" t="str">
        <f aca="false">IFERROR(F110*'2.1.b Veículos'!D$48,"")</f>
        <v/>
      </c>
      <c r="G181" s="406" t="str">
        <f aca="false">IFERROR(G110*'2.1.b Veículos'!E$48,"")</f>
        <v/>
      </c>
      <c r="H181" s="406" t="str">
        <f aca="false">IFERROR(H110*'2.1.b Veículos'!F$48,"")</f>
        <v/>
      </c>
      <c r="I181" s="406" t="str">
        <f aca="false">IFERROR(I110*'2.1.b Veículos'!G$48,"")</f>
        <v/>
      </c>
      <c r="J181" s="407"/>
    </row>
    <row r="182" customFormat="false" ht="15" hidden="true" customHeight="false" outlineLevel="0" collapsed="false">
      <c r="A182" s="404"/>
      <c r="B182" s="404"/>
      <c r="C182" s="404"/>
      <c r="D182" s="404"/>
      <c r="E182" s="391" t="n">
        <v>4</v>
      </c>
      <c r="F182" s="406" t="str">
        <f aca="false">IFERROR(F111*'2.1.b Veículos'!D$48,"")</f>
        <v/>
      </c>
      <c r="G182" s="406" t="str">
        <f aca="false">IFERROR(G111*'2.1.b Veículos'!E$48,"")</f>
        <v/>
      </c>
      <c r="H182" s="406" t="str">
        <f aca="false">IFERROR(H111*'2.1.b Veículos'!F$48,"")</f>
        <v/>
      </c>
      <c r="I182" s="406" t="str">
        <f aca="false">IFERROR(I111*'2.1.b Veículos'!G$48,"")</f>
        <v/>
      </c>
      <c r="J182" s="407"/>
    </row>
    <row r="183" customFormat="false" ht="15" hidden="true" customHeight="false" outlineLevel="0" collapsed="false">
      <c r="A183" s="404"/>
      <c r="B183" s="404"/>
      <c r="C183" s="404"/>
      <c r="D183" s="404"/>
      <c r="E183" s="391" t="n">
        <v>5</v>
      </c>
      <c r="F183" s="406" t="str">
        <f aca="false">IFERROR(F112*'2.1.b Veículos'!D$48,"")</f>
        <v/>
      </c>
      <c r="G183" s="406" t="str">
        <f aca="false">IFERROR(G112*'2.1.b Veículos'!E$48,"")</f>
        <v/>
      </c>
      <c r="H183" s="406" t="str">
        <f aca="false">IFERROR(H112*'2.1.b Veículos'!F$48,"")</f>
        <v/>
      </c>
      <c r="I183" s="406" t="str">
        <f aca="false">IFERROR(I112*'2.1.b Veículos'!G$48,"")</f>
        <v/>
      </c>
      <c r="J183" s="407"/>
    </row>
    <row r="184" customFormat="false" ht="15" hidden="true" customHeight="false" outlineLevel="0" collapsed="false">
      <c r="A184" s="404" t="s">
        <v>129</v>
      </c>
      <c r="B184" s="404"/>
      <c r="C184" s="404"/>
      <c r="D184" s="404"/>
      <c r="E184" s="391" t="n">
        <v>0</v>
      </c>
      <c r="F184" s="406" t="str">
        <f aca="false">IFERROR(F113*'2.1.b Veículos'!D$49,"")</f>
        <v/>
      </c>
      <c r="G184" s="406" t="str">
        <f aca="false">IFERROR(G113*'2.1.b Veículos'!E$49,"")</f>
        <v/>
      </c>
      <c r="H184" s="406" t="str">
        <f aca="false">IFERROR(H113*'2.1.b Veículos'!F$49,"")</f>
        <v/>
      </c>
      <c r="I184" s="406" t="str">
        <f aca="false">IFERROR(I113*'2.1.b Veículos'!G$49,"")</f>
        <v/>
      </c>
      <c r="J184" s="407"/>
    </row>
    <row r="185" customFormat="false" ht="15" hidden="true" customHeight="false" outlineLevel="0" collapsed="false">
      <c r="A185" s="404"/>
      <c r="B185" s="404"/>
      <c r="C185" s="404"/>
      <c r="D185" s="404"/>
      <c r="E185" s="391" t="n">
        <v>1</v>
      </c>
      <c r="F185" s="406" t="str">
        <f aca="false">IFERROR(F114*'2.1.b Veículos'!D$49,"")</f>
        <v/>
      </c>
      <c r="G185" s="406" t="str">
        <f aca="false">IFERROR(G114*'2.1.b Veículos'!E$49,"")</f>
        <v/>
      </c>
      <c r="H185" s="406" t="str">
        <f aca="false">IFERROR(H114*'2.1.b Veículos'!F$49,"")</f>
        <v/>
      </c>
      <c r="I185" s="406" t="str">
        <f aca="false">IFERROR(I114*'2.1.b Veículos'!G$49,"")</f>
        <v/>
      </c>
      <c r="J185" s="407"/>
    </row>
    <row r="186" customFormat="false" ht="15" hidden="true" customHeight="false" outlineLevel="0" collapsed="false">
      <c r="A186" s="404"/>
      <c r="B186" s="404"/>
      <c r="C186" s="404"/>
      <c r="D186" s="404"/>
      <c r="E186" s="391" t="n">
        <v>2</v>
      </c>
      <c r="F186" s="406" t="str">
        <f aca="false">IFERROR(F115*'2.1.b Veículos'!D$49,"")</f>
        <v/>
      </c>
      <c r="G186" s="406" t="str">
        <f aca="false">IFERROR(G115*'2.1.b Veículos'!E$49,"")</f>
        <v/>
      </c>
      <c r="H186" s="406" t="str">
        <f aca="false">IFERROR(H115*'2.1.b Veículos'!F$49,"")</f>
        <v/>
      </c>
      <c r="I186" s="406" t="str">
        <f aca="false">IFERROR(I115*'2.1.b Veículos'!G$49,"")</f>
        <v/>
      </c>
      <c r="J186" s="407"/>
    </row>
    <row r="187" customFormat="false" ht="15" hidden="true" customHeight="false" outlineLevel="0" collapsed="false">
      <c r="A187" s="404"/>
      <c r="B187" s="404"/>
      <c r="C187" s="404"/>
      <c r="D187" s="404"/>
      <c r="E187" s="391" t="n">
        <v>3</v>
      </c>
      <c r="F187" s="406" t="str">
        <f aca="false">IFERROR(F116*'2.1.b Veículos'!D$49,"")</f>
        <v/>
      </c>
      <c r="G187" s="406" t="str">
        <f aca="false">IFERROR(G116*'2.1.b Veículos'!E$49,"")</f>
        <v/>
      </c>
      <c r="H187" s="406" t="str">
        <f aca="false">IFERROR(H116*'2.1.b Veículos'!F$49,"")</f>
        <v/>
      </c>
      <c r="I187" s="406" t="str">
        <f aca="false">IFERROR(I116*'2.1.b Veículos'!G$49,"")</f>
        <v/>
      </c>
      <c r="J187" s="407"/>
    </row>
    <row r="188" customFormat="false" ht="15" hidden="true" customHeight="false" outlineLevel="0" collapsed="false">
      <c r="A188" s="404"/>
      <c r="B188" s="404"/>
      <c r="C188" s="404"/>
      <c r="D188" s="404"/>
      <c r="E188" s="391" t="n">
        <v>4</v>
      </c>
      <c r="F188" s="406" t="str">
        <f aca="false">IFERROR(F117*'2.1.b Veículos'!D$49,"")</f>
        <v/>
      </c>
      <c r="G188" s="406" t="str">
        <f aca="false">IFERROR(G117*'2.1.b Veículos'!E$49,"")</f>
        <v/>
      </c>
      <c r="H188" s="406" t="str">
        <f aca="false">IFERROR(H117*'2.1.b Veículos'!F$49,"")</f>
        <v/>
      </c>
      <c r="I188" s="406" t="str">
        <f aca="false">IFERROR(I117*'2.1.b Veículos'!G$49,"")</f>
        <v/>
      </c>
      <c r="J188" s="407"/>
    </row>
    <row r="189" customFormat="false" ht="15" hidden="true" customHeight="false" outlineLevel="0" collapsed="false">
      <c r="A189" s="404"/>
      <c r="B189" s="404"/>
      <c r="C189" s="404"/>
      <c r="D189" s="404"/>
      <c r="E189" s="391" t="n">
        <v>5</v>
      </c>
      <c r="F189" s="406" t="str">
        <f aca="false">IFERROR(F118*'2.1.b Veículos'!D$49,"")</f>
        <v/>
      </c>
      <c r="G189" s="406" t="str">
        <f aca="false">IFERROR(G118*'2.1.b Veículos'!E$49,"")</f>
        <v/>
      </c>
      <c r="H189" s="406" t="str">
        <f aca="false">IFERROR(H118*'2.1.b Veículos'!F$49,"")</f>
        <v/>
      </c>
      <c r="I189" s="406" t="str">
        <f aca="false">IFERROR(I118*'2.1.b Veículos'!G$49,"")</f>
        <v/>
      </c>
      <c r="J189" s="407"/>
    </row>
    <row r="190" customFormat="false" ht="15" hidden="true" customHeight="false" outlineLevel="0" collapsed="false">
      <c r="A190" s="404" t="s">
        <v>133</v>
      </c>
      <c r="B190" s="404"/>
      <c r="C190" s="404"/>
      <c r="D190" s="404"/>
      <c r="E190" s="391" t="n">
        <v>0</v>
      </c>
      <c r="F190" s="406" t="str">
        <f aca="false">IFERROR(F119*'2.1.b Veículos'!D$50,"")</f>
        <v/>
      </c>
      <c r="G190" s="406" t="str">
        <f aca="false">IFERROR(G119*'2.1.b Veículos'!E$50,"")</f>
        <v/>
      </c>
      <c r="H190" s="406" t="str">
        <f aca="false">IFERROR(H119*'2.1.b Veículos'!F$50,"")</f>
        <v/>
      </c>
      <c r="I190" s="406" t="str">
        <f aca="false">IFERROR(I119*'2.1.b Veículos'!G$50,"")</f>
        <v/>
      </c>
      <c r="J190" s="407"/>
    </row>
    <row r="191" customFormat="false" ht="15" hidden="true" customHeight="false" outlineLevel="0" collapsed="false">
      <c r="A191" s="404"/>
      <c r="B191" s="404"/>
      <c r="C191" s="404"/>
      <c r="D191" s="404"/>
      <c r="E191" s="391" t="n">
        <v>1</v>
      </c>
      <c r="F191" s="406" t="str">
        <f aca="false">IFERROR(F120*'2.1.b Veículos'!D$50,"")</f>
        <v/>
      </c>
      <c r="G191" s="406" t="str">
        <f aca="false">IFERROR(G120*'2.1.b Veículos'!E$50,"")</f>
        <v/>
      </c>
      <c r="H191" s="406" t="str">
        <f aca="false">IFERROR(H120*'2.1.b Veículos'!F$50,"")</f>
        <v/>
      </c>
      <c r="I191" s="406" t="str">
        <f aca="false">IFERROR(I120*'2.1.b Veículos'!G$50,"")</f>
        <v/>
      </c>
      <c r="J191" s="407"/>
    </row>
    <row r="192" customFormat="false" ht="15" hidden="true" customHeight="false" outlineLevel="0" collapsed="false">
      <c r="A192" s="404"/>
      <c r="B192" s="404"/>
      <c r="C192" s="404"/>
      <c r="D192" s="404"/>
      <c r="E192" s="391" t="n">
        <v>2</v>
      </c>
      <c r="F192" s="406" t="str">
        <f aca="false">IFERROR(F121*'2.1.b Veículos'!D$50,"")</f>
        <v/>
      </c>
      <c r="G192" s="406" t="str">
        <f aca="false">IFERROR(G121*'2.1.b Veículos'!E$50,"")</f>
        <v/>
      </c>
      <c r="H192" s="406" t="str">
        <f aca="false">IFERROR(H121*'2.1.b Veículos'!F$50,"")</f>
        <v/>
      </c>
      <c r="I192" s="406" t="str">
        <f aca="false">IFERROR(I121*'2.1.b Veículos'!G$50,"")</f>
        <v/>
      </c>
      <c r="J192" s="407"/>
    </row>
    <row r="193" customFormat="false" ht="15" hidden="true" customHeight="false" outlineLevel="0" collapsed="false">
      <c r="A193" s="404"/>
      <c r="B193" s="404"/>
      <c r="C193" s="404"/>
      <c r="D193" s="404"/>
      <c r="E193" s="391" t="n">
        <v>3</v>
      </c>
      <c r="F193" s="406" t="str">
        <f aca="false">IFERROR(F122*'2.1.b Veículos'!D$50,"")</f>
        <v/>
      </c>
      <c r="G193" s="406" t="str">
        <f aca="false">IFERROR(G122*'2.1.b Veículos'!E$50,"")</f>
        <v/>
      </c>
      <c r="H193" s="406" t="str">
        <f aca="false">IFERROR(H122*'2.1.b Veículos'!F$50,"")</f>
        <v/>
      </c>
      <c r="I193" s="406" t="str">
        <f aca="false">IFERROR(I122*'2.1.b Veículos'!G$50,"")</f>
        <v/>
      </c>
      <c r="J193" s="407"/>
    </row>
    <row r="194" customFormat="false" ht="15" hidden="true" customHeight="false" outlineLevel="0" collapsed="false">
      <c r="A194" s="404"/>
      <c r="B194" s="404"/>
      <c r="C194" s="404"/>
      <c r="D194" s="404"/>
      <c r="E194" s="391" t="n">
        <v>4</v>
      </c>
      <c r="F194" s="406" t="str">
        <f aca="false">IFERROR(F123*'2.1.b Veículos'!D$50,"")</f>
        <v/>
      </c>
      <c r="G194" s="406" t="str">
        <f aca="false">IFERROR(G123*'2.1.b Veículos'!E$50,"")</f>
        <v/>
      </c>
      <c r="H194" s="406" t="str">
        <f aca="false">IFERROR(H123*'2.1.b Veículos'!F$50,"")</f>
        <v/>
      </c>
      <c r="I194" s="406" t="str">
        <f aca="false">IFERROR(I123*'2.1.b Veículos'!G$50,"")</f>
        <v/>
      </c>
      <c r="J194" s="407"/>
    </row>
    <row r="195" customFormat="false" ht="15" hidden="true" customHeight="false" outlineLevel="0" collapsed="false">
      <c r="A195" s="404"/>
      <c r="B195" s="404"/>
      <c r="C195" s="404"/>
      <c r="D195" s="404"/>
      <c r="E195" s="391" t="n">
        <v>5</v>
      </c>
      <c r="F195" s="406" t="str">
        <f aca="false">IFERROR(F124*'2.1.b Veículos'!D$50,"")</f>
        <v/>
      </c>
      <c r="G195" s="406" t="str">
        <f aca="false">IFERROR(G124*'2.1.b Veículos'!E$50,"")</f>
        <v/>
      </c>
      <c r="H195" s="406" t="str">
        <f aca="false">IFERROR(H124*'2.1.b Veículos'!F$50,"")</f>
        <v/>
      </c>
      <c r="I195" s="406" t="str">
        <f aca="false">IFERROR(I124*'2.1.b Veículos'!G$50,"")</f>
        <v/>
      </c>
      <c r="J195" s="407"/>
    </row>
    <row r="196" customFormat="false" ht="15" hidden="true" customHeight="false" outlineLevel="0" collapsed="false">
      <c r="A196" s="404"/>
      <c r="B196" s="404"/>
      <c r="C196" s="404"/>
      <c r="D196" s="404"/>
      <c r="E196" s="391" t="n">
        <v>6</v>
      </c>
      <c r="F196" s="406" t="str">
        <f aca="false">IFERROR(F125*'2.1.b Veículos'!D$50,"")</f>
        <v/>
      </c>
      <c r="G196" s="406" t="str">
        <f aca="false">IFERROR(G125*'2.1.b Veículos'!E$50,"")</f>
        <v/>
      </c>
      <c r="H196" s="406" t="str">
        <f aca="false">IFERROR(H125*'2.1.b Veículos'!F$50,"")</f>
        <v/>
      </c>
      <c r="I196" s="406" t="str">
        <f aca="false">IFERROR(I125*'2.1.b Veículos'!G$50,"")</f>
        <v/>
      </c>
      <c r="J196" s="407"/>
    </row>
    <row r="197" customFormat="false" ht="15" hidden="true" customHeight="false" outlineLevel="0" collapsed="false">
      <c r="A197" s="404"/>
      <c r="B197" s="404"/>
      <c r="C197" s="404"/>
      <c r="D197" s="404"/>
      <c r="E197" s="391" t="n">
        <v>7</v>
      </c>
      <c r="F197" s="406" t="str">
        <f aca="false">IFERROR(F126*'2.1.b Veículos'!D$50,"")</f>
        <v/>
      </c>
      <c r="G197" s="406" t="str">
        <f aca="false">IFERROR(G126*'2.1.b Veículos'!E$50,"")</f>
        <v/>
      </c>
      <c r="H197" s="406" t="str">
        <f aca="false">IFERROR(H126*'2.1.b Veículos'!F$50,"")</f>
        <v/>
      </c>
      <c r="I197" s="406" t="str">
        <f aca="false">IFERROR(I126*'2.1.b Veículos'!G$50,"")</f>
        <v/>
      </c>
      <c r="J197" s="407"/>
    </row>
    <row r="198" customFormat="false" ht="15" hidden="true" customHeight="false" outlineLevel="0" collapsed="false">
      <c r="A198" s="404"/>
      <c r="B198" s="404"/>
      <c r="C198" s="404"/>
      <c r="D198" s="404"/>
      <c r="E198" s="391" t="n">
        <v>8</v>
      </c>
      <c r="F198" s="406" t="str">
        <f aca="false">IFERROR(F127*'2.1.b Veículos'!D$50,"")</f>
        <v/>
      </c>
      <c r="G198" s="406" t="str">
        <f aca="false">IFERROR(G127*'2.1.b Veículos'!E$50,"")</f>
        <v/>
      </c>
      <c r="H198" s="406" t="str">
        <f aca="false">IFERROR(H127*'2.1.b Veículos'!F$50,"")</f>
        <v/>
      </c>
      <c r="I198" s="406" t="str">
        <f aca="false">IFERROR(I127*'2.1.b Veículos'!G$50,"")</f>
        <v/>
      </c>
      <c r="J198" s="407"/>
    </row>
    <row r="199" customFormat="false" ht="15" hidden="false" customHeight="false" outlineLevel="0" collapsed="false">
      <c r="A199" s="404" t="s">
        <v>137</v>
      </c>
      <c r="B199" s="404"/>
      <c r="C199" s="404"/>
      <c r="D199" s="404"/>
      <c r="E199" s="391" t="n">
        <v>0</v>
      </c>
      <c r="F199" s="406" t="n">
        <f aca="false">IFERROR(F128*'2.1.b Veículos'!D$51,"")</f>
        <v>0</v>
      </c>
      <c r="G199" s="406" t="str">
        <f aca="false">IFERROR(G128*'2.1.b Veículos'!E$51,"")</f>
        <v/>
      </c>
      <c r="H199" s="406" t="n">
        <f aca="false">IFERROR(H128*'2.1.b Veículos'!F$51,"")</f>
        <v>0</v>
      </c>
      <c r="I199" s="406" t="str">
        <f aca="false">IFERROR(I128*'2.1.b Veículos'!G$51,"")</f>
        <v/>
      </c>
      <c r="J199" s="407"/>
    </row>
    <row r="200" customFormat="false" ht="15" hidden="false" customHeight="false" outlineLevel="0" collapsed="false">
      <c r="A200" s="404"/>
      <c r="B200" s="404"/>
      <c r="C200" s="404"/>
      <c r="D200" s="404"/>
      <c r="E200" s="391" t="n">
        <v>1</v>
      </c>
      <c r="F200" s="406" t="n">
        <f aca="false">IFERROR(F129*'2.1.b Veículos'!D$51,"")</f>
        <v>0</v>
      </c>
      <c r="G200" s="406" t="str">
        <f aca="false">IFERROR(G129*'2.1.b Veículos'!E$51,"")</f>
        <v/>
      </c>
      <c r="H200" s="406" t="n">
        <f aca="false">IFERROR(H129*'2.1.b Veículos'!F$51,"")</f>
        <v>0</v>
      </c>
      <c r="I200" s="406" t="str">
        <f aca="false">IFERROR(I129*'2.1.b Veículos'!G$51,"")</f>
        <v/>
      </c>
      <c r="J200" s="407"/>
    </row>
    <row r="201" customFormat="false" ht="15" hidden="false" customHeight="false" outlineLevel="0" collapsed="false">
      <c r="A201" s="404"/>
      <c r="B201" s="404"/>
      <c r="C201" s="404"/>
      <c r="D201" s="404"/>
      <c r="E201" s="391" t="n">
        <v>2</v>
      </c>
      <c r="F201" s="406" t="n">
        <f aca="false">IFERROR(F130*'2.1.b Veículos'!D$51,"")</f>
        <v>0</v>
      </c>
      <c r="G201" s="406" t="str">
        <f aca="false">IFERROR(G130*'2.1.b Veículos'!E$51,"")</f>
        <v/>
      </c>
      <c r="H201" s="406" t="n">
        <f aca="false">IFERROR(H130*'2.1.b Veículos'!F$51,"")</f>
        <v>0</v>
      </c>
      <c r="I201" s="406" t="str">
        <f aca="false">IFERROR(I130*'2.1.b Veículos'!G$51,"")</f>
        <v/>
      </c>
      <c r="J201" s="407"/>
    </row>
    <row r="202" customFormat="false" ht="15" hidden="false" customHeight="false" outlineLevel="0" collapsed="false">
      <c r="A202" s="404"/>
      <c r="B202" s="404"/>
      <c r="C202" s="404"/>
      <c r="D202" s="404"/>
      <c r="E202" s="391" t="n">
        <v>3</v>
      </c>
      <c r="F202" s="406" t="n">
        <f aca="false">IFERROR(F131*'2.1.b Veículos'!D$51,"")</f>
        <v>0</v>
      </c>
      <c r="G202" s="406" t="str">
        <f aca="false">IFERROR(G131*'2.1.b Veículos'!E$51,"")</f>
        <v/>
      </c>
      <c r="H202" s="406" t="n">
        <f aca="false">IFERROR(H131*'2.1.b Veículos'!F$51,"")</f>
        <v>0</v>
      </c>
      <c r="I202" s="406" t="str">
        <f aca="false">IFERROR(I131*'2.1.b Veículos'!G$51,"")</f>
        <v/>
      </c>
      <c r="J202" s="407"/>
    </row>
    <row r="203" customFormat="false" ht="15" hidden="false" customHeight="false" outlineLevel="0" collapsed="false">
      <c r="A203" s="404"/>
      <c r="B203" s="404"/>
      <c r="C203" s="404"/>
      <c r="D203" s="404"/>
      <c r="E203" s="391" t="n">
        <v>4</v>
      </c>
      <c r="F203" s="406" t="n">
        <f aca="false">IFERROR(F132*'2.1.b Veículos'!D$51,"")</f>
        <v>0</v>
      </c>
      <c r="G203" s="406" t="str">
        <f aca="false">IFERROR(G132*'2.1.b Veículos'!E$51,"")</f>
        <v/>
      </c>
      <c r="H203" s="406" t="n">
        <f aca="false">IFERROR(H132*'2.1.b Veículos'!F$51,"")</f>
        <v>0</v>
      </c>
      <c r="I203" s="406" t="str">
        <f aca="false">IFERROR(I132*'2.1.b Veículos'!G$51,"")</f>
        <v/>
      </c>
      <c r="J203" s="407"/>
    </row>
    <row r="204" customFormat="false" ht="15" hidden="false" customHeight="false" outlineLevel="0" collapsed="false">
      <c r="A204" s="404"/>
      <c r="B204" s="404"/>
      <c r="C204" s="404"/>
      <c r="D204" s="404"/>
      <c r="E204" s="391" t="n">
        <v>5</v>
      </c>
      <c r="F204" s="406" t="n">
        <f aca="false">IFERROR(F133*'2.1.b Veículos'!D$51,"")</f>
        <v>7884</v>
      </c>
      <c r="G204" s="406" t="str">
        <f aca="false">IFERROR(G133*'2.1.b Veículos'!E$51,"")</f>
        <v/>
      </c>
      <c r="H204" s="406" t="n">
        <f aca="false">IFERROR(H133*'2.1.b Veículos'!F$51,"")</f>
        <v>0</v>
      </c>
      <c r="I204" s="406" t="str">
        <f aca="false">IFERROR(I133*'2.1.b Veículos'!G$51,"")</f>
        <v/>
      </c>
      <c r="J204" s="407"/>
    </row>
    <row r="205" customFormat="false" ht="15" hidden="false" customHeight="false" outlineLevel="0" collapsed="false">
      <c r="A205" s="404"/>
      <c r="B205" s="404"/>
      <c r="C205" s="404"/>
      <c r="D205" s="404"/>
      <c r="E205" s="391" t="n">
        <v>6</v>
      </c>
      <c r="F205" s="406" t="n">
        <f aca="false">IFERROR(F134*'2.1.b Veículos'!D$51,"")</f>
        <v>0</v>
      </c>
      <c r="G205" s="406" t="str">
        <f aca="false">IFERROR(G134*'2.1.b Veículos'!E$51,"")</f>
        <v/>
      </c>
      <c r="H205" s="406" t="n">
        <f aca="false">IFERROR(H134*'2.1.b Veículos'!F$51,"")</f>
        <v>6095.66666666667</v>
      </c>
      <c r="I205" s="406" t="str">
        <f aca="false">IFERROR(I134*'2.1.b Veículos'!G$51,"")</f>
        <v/>
      </c>
      <c r="J205" s="407"/>
    </row>
    <row r="206" customFormat="false" ht="15" hidden="false" customHeight="false" outlineLevel="0" collapsed="false">
      <c r="A206" s="404"/>
      <c r="B206" s="404"/>
      <c r="C206" s="404"/>
      <c r="D206" s="404"/>
      <c r="E206" s="391" t="n">
        <v>7</v>
      </c>
      <c r="F206" s="406" t="n">
        <f aca="false">IFERROR(F135*'2.1.b Veículos'!D$51,"")</f>
        <v>0</v>
      </c>
      <c r="G206" s="406" t="str">
        <f aca="false">IFERROR(G135*'2.1.b Veículos'!E$51,"")</f>
        <v/>
      </c>
      <c r="H206" s="406" t="n">
        <f aca="false">IFERROR(H135*'2.1.b Veículos'!F$51,"")</f>
        <v>0</v>
      </c>
      <c r="I206" s="406" t="str">
        <f aca="false">IFERROR(I135*'2.1.b Veículos'!G$51,"")</f>
        <v/>
      </c>
      <c r="J206" s="407"/>
    </row>
    <row r="207" customFormat="false" ht="15" hidden="false" customHeight="false" outlineLevel="0" collapsed="false">
      <c r="A207" s="404"/>
      <c r="B207" s="404"/>
      <c r="C207" s="404"/>
      <c r="D207" s="404"/>
      <c r="E207" s="391" t="n">
        <v>8</v>
      </c>
      <c r="F207" s="406" t="n">
        <f aca="false">IFERROR(F136*'2.1.b Veículos'!D$51,"")</f>
        <v>0</v>
      </c>
      <c r="G207" s="406" t="str">
        <f aca="false">IFERROR(G136*'2.1.b Veículos'!E$51,"")</f>
        <v/>
      </c>
      <c r="H207" s="406" t="n">
        <f aca="false">IFERROR(H136*'2.1.b Veículos'!F$51,"")</f>
        <v>0</v>
      </c>
      <c r="I207" s="406" t="str">
        <f aca="false">IFERROR(I136*'2.1.b Veículos'!G$51,"")</f>
        <v/>
      </c>
      <c r="J207" s="407"/>
    </row>
    <row r="208" customFormat="false" ht="15" hidden="true" customHeight="false" outlineLevel="0" collapsed="false">
      <c r="A208" s="404" t="s">
        <v>141</v>
      </c>
      <c r="B208" s="404"/>
      <c r="C208" s="404"/>
      <c r="D208" s="404"/>
      <c r="E208" s="391" t="n">
        <v>0</v>
      </c>
      <c r="F208" s="406" t="str">
        <f aca="false">IFERROR(F137*'2.1.b Veículos'!D$52,"")</f>
        <v/>
      </c>
      <c r="G208" s="406" t="str">
        <f aca="false">IFERROR(G137*'2.1.b Veículos'!E$52,"")</f>
        <v/>
      </c>
      <c r="H208" s="406" t="str">
        <f aca="false">IFERROR(H137*'2.1.b Veículos'!F$52,"")</f>
        <v/>
      </c>
      <c r="I208" s="406" t="str">
        <f aca="false">IFERROR(I137*'2.1.b Veículos'!G$52,"")</f>
        <v/>
      </c>
      <c r="J208" s="407"/>
    </row>
    <row r="209" customFormat="false" ht="15" hidden="true" customHeight="false" outlineLevel="0" collapsed="false">
      <c r="A209" s="404"/>
      <c r="B209" s="404"/>
      <c r="C209" s="404"/>
      <c r="D209" s="404"/>
      <c r="E209" s="391" t="n">
        <v>1</v>
      </c>
      <c r="F209" s="406" t="str">
        <f aca="false">IFERROR(F138*'2.1.b Veículos'!D$52,"")</f>
        <v/>
      </c>
      <c r="G209" s="406" t="str">
        <f aca="false">IFERROR(G138*'2.1.b Veículos'!E$52,"")</f>
        <v/>
      </c>
      <c r="H209" s="406" t="str">
        <f aca="false">IFERROR(H138*'2.1.b Veículos'!F$52,"")</f>
        <v/>
      </c>
      <c r="I209" s="406" t="str">
        <f aca="false">IFERROR(I138*'2.1.b Veículos'!G$52,"")</f>
        <v/>
      </c>
      <c r="J209" s="407"/>
    </row>
    <row r="210" customFormat="false" ht="15" hidden="true" customHeight="false" outlineLevel="0" collapsed="false">
      <c r="A210" s="404"/>
      <c r="B210" s="404"/>
      <c r="C210" s="404"/>
      <c r="D210" s="404"/>
      <c r="E210" s="391" t="n">
        <v>2</v>
      </c>
      <c r="F210" s="406" t="str">
        <f aca="false">IFERROR(F139*'2.1.b Veículos'!D$52,"")</f>
        <v/>
      </c>
      <c r="G210" s="406" t="str">
        <f aca="false">IFERROR(G139*'2.1.b Veículos'!E$52,"")</f>
        <v/>
      </c>
      <c r="H210" s="406" t="str">
        <f aca="false">IFERROR(H139*'2.1.b Veículos'!F$52,"")</f>
        <v/>
      </c>
      <c r="I210" s="406" t="str">
        <f aca="false">IFERROR(I139*'2.1.b Veículos'!G$52,"")</f>
        <v/>
      </c>
      <c r="J210" s="407"/>
    </row>
    <row r="211" customFormat="false" ht="15" hidden="true" customHeight="false" outlineLevel="0" collapsed="false">
      <c r="A211" s="404"/>
      <c r="B211" s="404"/>
      <c r="C211" s="404"/>
      <c r="D211" s="404"/>
      <c r="E211" s="391" t="n">
        <v>3</v>
      </c>
      <c r="F211" s="406" t="str">
        <f aca="false">IFERROR(F140*'2.1.b Veículos'!D$52,"")</f>
        <v/>
      </c>
      <c r="G211" s="406" t="str">
        <f aca="false">IFERROR(G140*'2.1.b Veículos'!E$52,"")</f>
        <v/>
      </c>
      <c r="H211" s="406" t="str">
        <f aca="false">IFERROR(H140*'2.1.b Veículos'!F$52,"")</f>
        <v/>
      </c>
      <c r="I211" s="406" t="str">
        <f aca="false">IFERROR(I140*'2.1.b Veículos'!G$52,"")</f>
        <v/>
      </c>
      <c r="J211" s="407"/>
    </row>
    <row r="212" customFormat="false" ht="15" hidden="true" customHeight="false" outlineLevel="0" collapsed="false">
      <c r="A212" s="404"/>
      <c r="B212" s="404"/>
      <c r="C212" s="404"/>
      <c r="D212" s="404"/>
      <c r="E212" s="391" t="n">
        <v>4</v>
      </c>
      <c r="F212" s="406" t="str">
        <f aca="false">IFERROR(F141*'2.1.b Veículos'!D$52,"")</f>
        <v/>
      </c>
      <c r="G212" s="406" t="str">
        <f aca="false">IFERROR(G141*'2.1.b Veículos'!E$52,"")</f>
        <v/>
      </c>
      <c r="H212" s="406" t="str">
        <f aca="false">IFERROR(H141*'2.1.b Veículos'!F$52,"")</f>
        <v/>
      </c>
      <c r="I212" s="406" t="str">
        <f aca="false">IFERROR(I141*'2.1.b Veículos'!G$52,"")</f>
        <v/>
      </c>
      <c r="J212" s="407"/>
    </row>
    <row r="213" customFormat="false" ht="15" hidden="true" customHeight="false" outlineLevel="0" collapsed="false">
      <c r="A213" s="404"/>
      <c r="B213" s="404"/>
      <c r="C213" s="404"/>
      <c r="D213" s="404"/>
      <c r="E213" s="391" t="n">
        <v>5</v>
      </c>
      <c r="F213" s="406" t="str">
        <f aca="false">IFERROR(F142*'2.1.b Veículos'!D$52,"")</f>
        <v/>
      </c>
      <c r="G213" s="406" t="str">
        <f aca="false">IFERROR(G142*'2.1.b Veículos'!E$52,"")</f>
        <v/>
      </c>
      <c r="H213" s="406" t="str">
        <f aca="false">IFERROR(H142*'2.1.b Veículos'!F$52,"")</f>
        <v/>
      </c>
      <c r="I213" s="406" t="str">
        <f aca="false">IFERROR(I142*'2.1.b Veículos'!G$52,"")</f>
        <v/>
      </c>
      <c r="J213" s="407"/>
    </row>
    <row r="214" customFormat="false" ht="15" hidden="true" customHeight="false" outlineLevel="0" collapsed="false">
      <c r="A214" s="404"/>
      <c r="B214" s="404"/>
      <c r="C214" s="404"/>
      <c r="D214" s="404"/>
      <c r="E214" s="391" t="n">
        <v>6</v>
      </c>
      <c r="F214" s="406" t="str">
        <f aca="false">IFERROR(F143*'2.1.b Veículos'!D$52,"")</f>
        <v/>
      </c>
      <c r="G214" s="406" t="str">
        <f aca="false">IFERROR(G143*'2.1.b Veículos'!E$52,"")</f>
        <v/>
      </c>
      <c r="H214" s="406" t="str">
        <f aca="false">IFERROR(H143*'2.1.b Veículos'!F$52,"")</f>
        <v/>
      </c>
      <c r="I214" s="406" t="str">
        <f aca="false">IFERROR(I143*'2.1.b Veículos'!G$52,"")</f>
        <v/>
      </c>
      <c r="J214" s="407"/>
    </row>
    <row r="215" customFormat="false" ht="15" hidden="true" customHeight="false" outlineLevel="0" collapsed="false">
      <c r="A215" s="404"/>
      <c r="B215" s="404"/>
      <c r="C215" s="404"/>
      <c r="D215" s="404"/>
      <c r="E215" s="391" t="n">
        <v>7</v>
      </c>
      <c r="F215" s="406" t="str">
        <f aca="false">IFERROR(F144*'2.1.b Veículos'!D$52,"")</f>
        <v/>
      </c>
      <c r="G215" s="406" t="str">
        <f aca="false">IFERROR(G144*'2.1.b Veículos'!E$52,"")</f>
        <v/>
      </c>
      <c r="H215" s="406" t="str">
        <f aca="false">IFERROR(H144*'2.1.b Veículos'!F$52,"")</f>
        <v/>
      </c>
      <c r="I215" s="406" t="str">
        <f aca="false">IFERROR(I144*'2.1.b Veículos'!G$52,"")</f>
        <v/>
      </c>
      <c r="J215" s="407"/>
    </row>
    <row r="216" customFormat="false" ht="15" hidden="true" customHeight="false" outlineLevel="0" collapsed="false">
      <c r="A216" s="404"/>
      <c r="B216" s="404"/>
      <c r="C216" s="404"/>
      <c r="D216" s="404"/>
      <c r="E216" s="391" t="n">
        <v>8</v>
      </c>
      <c r="F216" s="406" t="str">
        <f aca="false">IFERROR(F145*'2.1.b Veículos'!D$52,"")</f>
        <v/>
      </c>
      <c r="G216" s="406" t="str">
        <f aca="false">IFERROR(G145*'2.1.b Veículos'!E$52,"")</f>
        <v/>
      </c>
      <c r="H216" s="406" t="str">
        <f aca="false">IFERROR(H145*'2.1.b Veículos'!F$52,"")</f>
        <v/>
      </c>
      <c r="I216" s="406" t="str">
        <f aca="false">IFERROR(I145*'2.1.b Veículos'!G$52,"")</f>
        <v/>
      </c>
      <c r="J216" s="407"/>
    </row>
    <row r="217" customFormat="false" ht="15" hidden="true" customHeight="false" outlineLevel="0" collapsed="false">
      <c r="A217" s="404"/>
      <c r="B217" s="404"/>
      <c r="C217" s="404"/>
      <c r="D217" s="404"/>
      <c r="E217" s="391" t="n">
        <v>9</v>
      </c>
      <c r="F217" s="406" t="str">
        <f aca="false">IFERROR(F146*'2.1.b Veículos'!D$52,"")</f>
        <v/>
      </c>
      <c r="G217" s="406" t="str">
        <f aca="false">IFERROR(G146*'2.1.b Veículos'!E$52,"")</f>
        <v/>
      </c>
      <c r="H217" s="406" t="str">
        <f aca="false">IFERROR(H146*'2.1.b Veículos'!F$52,"")</f>
        <v/>
      </c>
      <c r="I217" s="406" t="str">
        <f aca="false">IFERROR(I146*'2.1.b Veículos'!G$52,"")</f>
        <v/>
      </c>
      <c r="J217" s="407"/>
    </row>
    <row r="218" customFormat="false" ht="15" hidden="true" customHeight="false" outlineLevel="0" collapsed="false">
      <c r="A218" s="404"/>
      <c r="B218" s="404"/>
      <c r="C218" s="404"/>
      <c r="D218" s="404"/>
      <c r="E218" s="391" t="n">
        <v>10</v>
      </c>
      <c r="F218" s="406" t="str">
        <f aca="false">IFERROR(F147*'2.1.b Veículos'!D$52,"")</f>
        <v/>
      </c>
      <c r="G218" s="406" t="str">
        <f aca="false">IFERROR(G147*'2.1.b Veículos'!E$52,"")</f>
        <v/>
      </c>
      <c r="H218" s="406" t="str">
        <f aca="false">IFERROR(H147*'2.1.b Veículos'!F$52,"")</f>
        <v/>
      </c>
      <c r="I218" s="406" t="str">
        <f aca="false">IFERROR(I147*'2.1.b Veículos'!G$52,"")</f>
        <v/>
      </c>
      <c r="J218" s="407"/>
    </row>
    <row r="219" customFormat="false" ht="15" hidden="true" customHeight="false" outlineLevel="0" collapsed="false">
      <c r="A219" s="408" t="s">
        <v>143</v>
      </c>
      <c r="B219" s="408"/>
      <c r="C219" s="408"/>
      <c r="D219" s="408"/>
      <c r="E219" s="391" t="n">
        <v>0</v>
      </c>
      <c r="F219" s="406" t="str">
        <f aca="false">IFERROR(F148*'2.1.b Veículos'!D$53,"")</f>
        <v/>
      </c>
      <c r="G219" s="406" t="str">
        <f aca="false">IFERROR(G148*'2.1.b Veículos'!E$53,"")</f>
        <v/>
      </c>
      <c r="H219" s="406" t="str">
        <f aca="false">IFERROR(H148*'2.1.b Veículos'!F$53,"")</f>
        <v/>
      </c>
      <c r="I219" s="406" t="str">
        <f aca="false">IFERROR(I148*'2.1.b Veículos'!G$53,"")</f>
        <v/>
      </c>
      <c r="J219" s="407"/>
    </row>
    <row r="220" customFormat="false" ht="15" hidden="true" customHeight="false" outlineLevel="0" collapsed="false">
      <c r="A220" s="408"/>
      <c r="B220" s="408"/>
      <c r="C220" s="408"/>
      <c r="D220" s="408"/>
      <c r="E220" s="391" t="n">
        <v>1</v>
      </c>
      <c r="F220" s="406" t="str">
        <f aca="false">IFERROR(F149*'2.1.b Veículos'!D$53,"")</f>
        <v/>
      </c>
      <c r="G220" s="406" t="str">
        <f aca="false">IFERROR(G149*'2.1.b Veículos'!E$53,"")</f>
        <v/>
      </c>
      <c r="H220" s="406" t="str">
        <f aca="false">IFERROR(H149*'2.1.b Veículos'!F$53,"")</f>
        <v/>
      </c>
      <c r="I220" s="406" t="str">
        <f aca="false">IFERROR(I149*'2.1.b Veículos'!G$53,"")</f>
        <v/>
      </c>
      <c r="J220" s="407"/>
    </row>
    <row r="221" customFormat="false" ht="15" hidden="true" customHeight="false" outlineLevel="0" collapsed="false">
      <c r="A221" s="408"/>
      <c r="B221" s="408"/>
      <c r="C221" s="408"/>
      <c r="D221" s="408"/>
      <c r="E221" s="391" t="n">
        <v>2</v>
      </c>
      <c r="F221" s="406" t="str">
        <f aca="false">IFERROR(F150*'2.1.b Veículos'!D$53,"")</f>
        <v/>
      </c>
      <c r="G221" s="406" t="str">
        <f aca="false">IFERROR(G150*'2.1.b Veículos'!E$53,"")</f>
        <v/>
      </c>
      <c r="H221" s="406" t="str">
        <f aca="false">IFERROR(H150*'2.1.b Veículos'!F$53,"")</f>
        <v/>
      </c>
      <c r="I221" s="406" t="str">
        <f aca="false">IFERROR(I150*'2.1.b Veículos'!G$53,"")</f>
        <v/>
      </c>
      <c r="J221" s="407"/>
    </row>
    <row r="222" customFormat="false" ht="15" hidden="true" customHeight="false" outlineLevel="0" collapsed="false">
      <c r="A222" s="408"/>
      <c r="B222" s="408"/>
      <c r="C222" s="408"/>
      <c r="D222" s="408"/>
      <c r="E222" s="391" t="n">
        <v>3</v>
      </c>
      <c r="F222" s="406" t="str">
        <f aca="false">IFERROR(F151*'2.1.b Veículos'!D$53,"")</f>
        <v/>
      </c>
      <c r="G222" s="406" t="str">
        <f aca="false">IFERROR(G151*'2.1.b Veículos'!E$53,"")</f>
        <v/>
      </c>
      <c r="H222" s="406" t="str">
        <f aca="false">IFERROR(H151*'2.1.b Veículos'!F$53,"")</f>
        <v/>
      </c>
      <c r="I222" s="406" t="str">
        <f aca="false">IFERROR(I151*'2.1.b Veículos'!G$53,"")</f>
        <v/>
      </c>
      <c r="J222" s="407"/>
    </row>
    <row r="223" customFormat="false" ht="15" hidden="true" customHeight="false" outlineLevel="0" collapsed="false">
      <c r="A223" s="408"/>
      <c r="B223" s="408"/>
      <c r="C223" s="408"/>
      <c r="D223" s="408"/>
      <c r="E223" s="391" t="n">
        <v>4</v>
      </c>
      <c r="F223" s="406" t="str">
        <f aca="false">IFERROR(F152*'2.1.b Veículos'!D$53,"")</f>
        <v/>
      </c>
      <c r="G223" s="406" t="str">
        <f aca="false">IFERROR(G152*'2.1.b Veículos'!E$53,"")</f>
        <v/>
      </c>
      <c r="H223" s="406" t="str">
        <f aca="false">IFERROR(H152*'2.1.b Veículos'!F$53,"")</f>
        <v/>
      </c>
      <c r="I223" s="406" t="str">
        <f aca="false">IFERROR(I152*'2.1.b Veículos'!G$53,"")</f>
        <v/>
      </c>
      <c r="J223" s="407"/>
    </row>
    <row r="224" customFormat="false" ht="15" hidden="true" customHeight="false" outlineLevel="0" collapsed="false">
      <c r="A224" s="408"/>
      <c r="B224" s="408"/>
      <c r="C224" s="408"/>
      <c r="D224" s="408"/>
      <c r="E224" s="391" t="n">
        <v>5</v>
      </c>
      <c r="F224" s="406" t="str">
        <f aca="false">IFERROR(F153*'2.1.b Veículos'!D$53,"")</f>
        <v/>
      </c>
      <c r="G224" s="406" t="str">
        <f aca="false">IFERROR(G153*'2.1.b Veículos'!E$53,"")</f>
        <v/>
      </c>
      <c r="H224" s="406" t="str">
        <f aca="false">IFERROR(H153*'2.1.b Veículos'!F$53,"")</f>
        <v/>
      </c>
      <c r="I224" s="406" t="str">
        <f aca="false">IFERROR(I153*'2.1.b Veículos'!G$53,"")</f>
        <v/>
      </c>
      <c r="J224" s="407"/>
    </row>
    <row r="225" customFormat="false" ht="15" hidden="true" customHeight="false" outlineLevel="0" collapsed="false">
      <c r="A225" s="408"/>
      <c r="B225" s="408"/>
      <c r="C225" s="408"/>
      <c r="D225" s="408"/>
      <c r="E225" s="391" t="n">
        <v>6</v>
      </c>
      <c r="F225" s="406" t="str">
        <f aca="false">IFERROR(F154*'2.1.b Veículos'!D$53,"")</f>
        <v/>
      </c>
      <c r="G225" s="406" t="str">
        <f aca="false">IFERROR(G154*'2.1.b Veículos'!E$53,"")</f>
        <v/>
      </c>
      <c r="H225" s="406" t="str">
        <f aca="false">IFERROR(H154*'2.1.b Veículos'!F$53,"")</f>
        <v/>
      </c>
      <c r="I225" s="406" t="str">
        <f aca="false">IFERROR(I154*'2.1.b Veículos'!G$53,"")</f>
        <v/>
      </c>
      <c r="J225" s="407"/>
    </row>
    <row r="226" customFormat="false" ht="15" hidden="true" customHeight="false" outlineLevel="0" collapsed="false">
      <c r="A226" s="408"/>
      <c r="B226" s="408"/>
      <c r="C226" s="408"/>
      <c r="D226" s="408"/>
      <c r="E226" s="391" t="n">
        <v>7</v>
      </c>
      <c r="F226" s="406" t="str">
        <f aca="false">IFERROR(F155*'2.1.b Veículos'!D$53,"")</f>
        <v/>
      </c>
      <c r="G226" s="406" t="str">
        <f aca="false">IFERROR(G155*'2.1.b Veículos'!E$53,"")</f>
        <v/>
      </c>
      <c r="H226" s="406" t="str">
        <f aca="false">IFERROR(H155*'2.1.b Veículos'!F$53,"")</f>
        <v/>
      </c>
      <c r="I226" s="406" t="str">
        <f aca="false">IFERROR(I155*'2.1.b Veículos'!G$53,"")</f>
        <v/>
      </c>
      <c r="J226" s="407"/>
    </row>
    <row r="227" customFormat="false" ht="15" hidden="true" customHeight="false" outlineLevel="0" collapsed="false">
      <c r="A227" s="408"/>
      <c r="B227" s="408"/>
      <c r="C227" s="408"/>
      <c r="D227" s="408"/>
      <c r="E227" s="391" t="n">
        <v>8</v>
      </c>
      <c r="F227" s="406" t="str">
        <f aca="false">IFERROR(F156*'2.1.b Veículos'!D$53,"")</f>
        <v/>
      </c>
      <c r="G227" s="406" t="str">
        <f aca="false">IFERROR(G156*'2.1.b Veículos'!E$53,"")</f>
        <v/>
      </c>
      <c r="H227" s="406" t="str">
        <f aca="false">IFERROR(H156*'2.1.b Veículos'!F$53,"")</f>
        <v/>
      </c>
      <c r="I227" s="406" t="str">
        <f aca="false">IFERROR(I156*'2.1.b Veículos'!G$53,"")</f>
        <v/>
      </c>
      <c r="J227" s="407"/>
    </row>
    <row r="228" customFormat="false" ht="15" hidden="true" customHeight="false" outlineLevel="0" collapsed="false">
      <c r="A228" s="408"/>
      <c r="B228" s="408"/>
      <c r="C228" s="408"/>
      <c r="D228" s="408"/>
      <c r="E228" s="391" t="n">
        <v>9</v>
      </c>
      <c r="F228" s="406" t="str">
        <f aca="false">IFERROR(F157*'2.1.b Veículos'!D$53,"")</f>
        <v/>
      </c>
      <c r="G228" s="406" t="str">
        <f aca="false">IFERROR(G157*'2.1.b Veículos'!E$53,"")</f>
        <v/>
      </c>
      <c r="H228" s="406" t="str">
        <f aca="false">IFERROR(H157*'2.1.b Veículos'!F$53,"")</f>
        <v/>
      </c>
      <c r="I228" s="406" t="str">
        <f aca="false">IFERROR(I157*'2.1.b Veículos'!G$53,"")</f>
        <v/>
      </c>
      <c r="J228" s="407"/>
    </row>
    <row r="229" customFormat="false" ht="15" hidden="true" customHeight="false" outlineLevel="0" collapsed="false">
      <c r="A229" s="408"/>
      <c r="B229" s="408"/>
      <c r="C229" s="408"/>
      <c r="D229" s="408"/>
      <c r="E229" s="391" t="n">
        <v>10</v>
      </c>
      <c r="F229" s="406" t="str">
        <f aca="false">IFERROR(F158*'2.1.b Veículos'!D$53,"")</f>
        <v/>
      </c>
      <c r="G229" s="406" t="str">
        <f aca="false">IFERROR(G158*'2.1.b Veículos'!E$53,"")</f>
        <v/>
      </c>
      <c r="H229" s="406" t="str">
        <f aca="false">IFERROR(H158*'2.1.b Veículos'!F$53,"")</f>
        <v/>
      </c>
      <c r="I229" s="406" t="str">
        <f aca="false">IFERROR(I158*'2.1.b Veículos'!G$53,"")</f>
        <v/>
      </c>
      <c r="J229" s="407"/>
    </row>
    <row r="230" customFormat="false" ht="15" hidden="true" customHeight="false" outlineLevel="0" collapsed="false">
      <c r="A230" s="408"/>
      <c r="B230" s="408"/>
      <c r="C230" s="408"/>
      <c r="D230" s="408"/>
      <c r="E230" s="391" t="n">
        <v>11</v>
      </c>
      <c r="F230" s="406" t="str">
        <f aca="false">IFERROR(F159*'2.1.b Veículos'!D$53,"")</f>
        <v/>
      </c>
      <c r="G230" s="406" t="str">
        <f aca="false">IFERROR(G159*'2.1.b Veículos'!E$53,"")</f>
        <v/>
      </c>
      <c r="H230" s="406" t="str">
        <f aca="false">IFERROR(H159*'2.1.b Veículos'!F$53,"")</f>
        <v/>
      </c>
      <c r="I230" s="406" t="str">
        <f aca="false">IFERROR(I159*'2.1.b Veículos'!G$53,"")</f>
        <v/>
      </c>
      <c r="J230" s="407"/>
    </row>
    <row r="231" customFormat="false" ht="15" hidden="true" customHeight="false" outlineLevel="0" collapsed="false">
      <c r="A231" s="408"/>
      <c r="B231" s="408"/>
      <c r="C231" s="408"/>
      <c r="D231" s="408"/>
      <c r="E231" s="391" t="n">
        <v>12</v>
      </c>
      <c r="F231" s="406" t="str">
        <f aca="false">IFERROR(F160*'2.1.b Veículos'!D$53,"")</f>
        <v/>
      </c>
      <c r="G231" s="406" t="str">
        <f aca="false">IFERROR(G160*'2.1.b Veículos'!E$53,"")</f>
        <v/>
      </c>
      <c r="H231" s="406" t="str">
        <f aca="false">IFERROR(H160*'2.1.b Veículos'!F$53,"")</f>
        <v/>
      </c>
      <c r="I231" s="406" t="str">
        <f aca="false">IFERROR(I160*'2.1.b Veículos'!G$53,"")</f>
        <v/>
      </c>
      <c r="J231" s="407"/>
    </row>
    <row r="232" customFormat="false" ht="15" hidden="true" customHeight="false" outlineLevel="0" collapsed="false">
      <c r="A232" s="408" t="s">
        <v>147</v>
      </c>
      <c r="B232" s="408"/>
      <c r="C232" s="408"/>
      <c r="D232" s="408"/>
      <c r="E232" s="391" t="n">
        <v>0</v>
      </c>
      <c r="F232" s="406" t="str">
        <f aca="false">IFERROR(F161*'2.1.b Veículos'!D$54,"")</f>
        <v/>
      </c>
      <c r="G232" s="406" t="str">
        <f aca="false">IFERROR(G161*'2.1.b Veículos'!E$54,"")</f>
        <v/>
      </c>
      <c r="H232" s="406" t="str">
        <f aca="false">IFERROR(H161*'2.1.b Veículos'!F$54,"")</f>
        <v/>
      </c>
      <c r="I232" s="406" t="str">
        <f aca="false">IFERROR(I161*'2.1.b Veículos'!G$54,"")</f>
        <v/>
      </c>
      <c r="J232" s="407"/>
    </row>
    <row r="233" customFormat="false" ht="15" hidden="true" customHeight="false" outlineLevel="0" collapsed="false">
      <c r="A233" s="408"/>
      <c r="B233" s="408"/>
      <c r="C233" s="408"/>
      <c r="D233" s="408"/>
      <c r="E233" s="391" t="n">
        <v>1</v>
      </c>
      <c r="F233" s="406" t="str">
        <f aca="false">IFERROR(F162*'2.1.b Veículos'!D$54,"")</f>
        <v/>
      </c>
      <c r="G233" s="406" t="str">
        <f aca="false">IFERROR(G162*'2.1.b Veículos'!E$54,"")</f>
        <v/>
      </c>
      <c r="H233" s="406" t="str">
        <f aca="false">IFERROR(H162*'2.1.b Veículos'!F$54,"")</f>
        <v/>
      </c>
      <c r="I233" s="406" t="str">
        <f aca="false">IFERROR(I162*'2.1.b Veículos'!G$54,"")</f>
        <v/>
      </c>
      <c r="J233" s="407"/>
    </row>
    <row r="234" customFormat="false" ht="15" hidden="true" customHeight="false" outlineLevel="0" collapsed="false">
      <c r="A234" s="408"/>
      <c r="B234" s="408"/>
      <c r="C234" s="408"/>
      <c r="D234" s="408"/>
      <c r="E234" s="391" t="n">
        <v>2</v>
      </c>
      <c r="F234" s="406" t="str">
        <f aca="false">IFERROR(F163*'2.1.b Veículos'!D$54,"")</f>
        <v/>
      </c>
      <c r="G234" s="406" t="str">
        <f aca="false">IFERROR(G163*'2.1.b Veículos'!E$54,"")</f>
        <v/>
      </c>
      <c r="H234" s="406" t="str">
        <f aca="false">IFERROR(H163*'2.1.b Veículos'!F$54,"")</f>
        <v/>
      </c>
      <c r="I234" s="406" t="str">
        <f aca="false">IFERROR(I163*'2.1.b Veículos'!G$54,"")</f>
        <v/>
      </c>
      <c r="J234" s="407"/>
    </row>
    <row r="235" customFormat="false" ht="15" hidden="true" customHeight="false" outlineLevel="0" collapsed="false">
      <c r="A235" s="408"/>
      <c r="B235" s="408"/>
      <c r="C235" s="408"/>
      <c r="D235" s="408"/>
      <c r="E235" s="391" t="n">
        <v>3</v>
      </c>
      <c r="F235" s="406" t="str">
        <f aca="false">IFERROR(F164*'2.1.b Veículos'!D$54,"")</f>
        <v/>
      </c>
      <c r="G235" s="406" t="str">
        <f aca="false">IFERROR(G164*'2.1.b Veículos'!E$54,"")</f>
        <v/>
      </c>
      <c r="H235" s="406" t="str">
        <f aca="false">IFERROR(H164*'2.1.b Veículos'!F$54,"")</f>
        <v/>
      </c>
      <c r="I235" s="406" t="str">
        <f aca="false">IFERROR(I164*'2.1.b Veículos'!G$54,"")</f>
        <v/>
      </c>
      <c r="J235" s="407"/>
    </row>
    <row r="236" customFormat="false" ht="15" hidden="true" customHeight="false" outlineLevel="0" collapsed="false">
      <c r="A236" s="408"/>
      <c r="B236" s="408"/>
      <c r="C236" s="408"/>
      <c r="D236" s="408"/>
      <c r="E236" s="391" t="n">
        <v>4</v>
      </c>
      <c r="F236" s="406" t="str">
        <f aca="false">IFERROR(F165*'2.1.b Veículos'!D$54,"")</f>
        <v/>
      </c>
      <c r="G236" s="406" t="str">
        <f aca="false">IFERROR(G165*'2.1.b Veículos'!E$54,"")</f>
        <v/>
      </c>
      <c r="H236" s="406" t="str">
        <f aca="false">IFERROR(H165*'2.1.b Veículos'!F$54,"")</f>
        <v/>
      </c>
      <c r="I236" s="406" t="str">
        <f aca="false">IFERROR(I165*'2.1.b Veículos'!G$54,"")</f>
        <v/>
      </c>
      <c r="J236" s="407"/>
    </row>
    <row r="237" customFormat="false" ht="15" hidden="true" customHeight="false" outlineLevel="0" collapsed="false">
      <c r="A237" s="408"/>
      <c r="B237" s="408"/>
      <c r="C237" s="408"/>
      <c r="D237" s="408"/>
      <c r="E237" s="391" t="n">
        <v>5</v>
      </c>
      <c r="F237" s="406" t="str">
        <f aca="false">IFERROR(F166*'2.1.b Veículos'!D$54,"")</f>
        <v/>
      </c>
      <c r="G237" s="406" t="str">
        <f aca="false">IFERROR(G166*'2.1.b Veículos'!E$54,"")</f>
        <v/>
      </c>
      <c r="H237" s="406" t="str">
        <f aca="false">IFERROR(H166*'2.1.b Veículos'!F$54,"")</f>
        <v/>
      </c>
      <c r="I237" s="406" t="str">
        <f aca="false">IFERROR(I166*'2.1.b Veículos'!G$54,"")</f>
        <v/>
      </c>
      <c r="J237" s="407"/>
    </row>
    <row r="238" customFormat="false" ht="15" hidden="true" customHeight="false" outlineLevel="0" collapsed="false">
      <c r="A238" s="408"/>
      <c r="B238" s="408"/>
      <c r="C238" s="408"/>
      <c r="D238" s="408"/>
      <c r="E238" s="391" t="n">
        <v>6</v>
      </c>
      <c r="F238" s="406" t="str">
        <f aca="false">IFERROR(F167*'2.1.b Veículos'!D$54,"")</f>
        <v/>
      </c>
      <c r="G238" s="406" t="str">
        <f aca="false">IFERROR(G167*'2.1.b Veículos'!E$54,"")</f>
        <v/>
      </c>
      <c r="H238" s="406" t="str">
        <f aca="false">IFERROR(H167*'2.1.b Veículos'!F$54,"")</f>
        <v/>
      </c>
      <c r="I238" s="406" t="str">
        <f aca="false">IFERROR(I167*'2.1.b Veículos'!G$54,"")</f>
        <v/>
      </c>
      <c r="J238" s="407"/>
    </row>
    <row r="239" customFormat="false" ht="15" hidden="true" customHeight="false" outlineLevel="0" collapsed="false">
      <c r="A239" s="408"/>
      <c r="B239" s="408"/>
      <c r="C239" s="408"/>
      <c r="D239" s="408"/>
      <c r="E239" s="391" t="n">
        <v>7</v>
      </c>
      <c r="F239" s="406" t="str">
        <f aca="false">IFERROR(F168*'2.1.b Veículos'!D$54,"")</f>
        <v/>
      </c>
      <c r="G239" s="406" t="str">
        <f aca="false">IFERROR(G168*'2.1.b Veículos'!E$54,"")</f>
        <v/>
      </c>
      <c r="H239" s="406" t="str">
        <f aca="false">IFERROR(H168*'2.1.b Veículos'!F$54,"")</f>
        <v/>
      </c>
      <c r="I239" s="406" t="str">
        <f aca="false">IFERROR(I168*'2.1.b Veículos'!G$54,"")</f>
        <v/>
      </c>
      <c r="J239" s="407"/>
    </row>
    <row r="240" customFormat="false" ht="15" hidden="true" customHeight="false" outlineLevel="0" collapsed="false">
      <c r="A240" s="408"/>
      <c r="B240" s="408"/>
      <c r="C240" s="408"/>
      <c r="D240" s="408"/>
      <c r="E240" s="391" t="n">
        <v>8</v>
      </c>
      <c r="F240" s="406" t="str">
        <f aca="false">IFERROR(F169*'2.1.b Veículos'!D$54,"")</f>
        <v/>
      </c>
      <c r="G240" s="406" t="str">
        <f aca="false">IFERROR(G169*'2.1.b Veículos'!E$54,"")</f>
        <v/>
      </c>
      <c r="H240" s="406" t="str">
        <f aca="false">IFERROR(H169*'2.1.b Veículos'!F$54,"")</f>
        <v/>
      </c>
      <c r="I240" s="406" t="str">
        <f aca="false">IFERROR(I169*'2.1.b Veículos'!G$54,"")</f>
        <v/>
      </c>
      <c r="J240" s="407"/>
    </row>
    <row r="241" customFormat="false" ht="15" hidden="true" customHeight="false" outlineLevel="0" collapsed="false">
      <c r="A241" s="408"/>
      <c r="B241" s="408"/>
      <c r="C241" s="408"/>
      <c r="D241" s="408"/>
      <c r="E241" s="391" t="n">
        <v>9</v>
      </c>
      <c r="F241" s="406" t="str">
        <f aca="false">IFERROR(F170*'2.1.b Veículos'!D$54,"")</f>
        <v/>
      </c>
      <c r="G241" s="406" t="str">
        <f aca="false">IFERROR(G170*'2.1.b Veículos'!E$54,"")</f>
        <v/>
      </c>
      <c r="H241" s="406" t="str">
        <f aca="false">IFERROR(H170*'2.1.b Veículos'!F$54,"")</f>
        <v/>
      </c>
      <c r="I241" s="406" t="str">
        <f aca="false">IFERROR(I170*'2.1.b Veículos'!G$54,"")</f>
        <v/>
      </c>
      <c r="J241" s="407"/>
    </row>
    <row r="242" customFormat="false" ht="15" hidden="true" customHeight="false" outlineLevel="0" collapsed="false">
      <c r="A242" s="408"/>
      <c r="B242" s="408"/>
      <c r="C242" s="408"/>
      <c r="D242" s="408"/>
      <c r="E242" s="391" t="n">
        <v>10</v>
      </c>
      <c r="F242" s="406" t="str">
        <f aca="false">IFERROR(F171*'2.1.b Veículos'!D$54,"")</f>
        <v/>
      </c>
      <c r="G242" s="406" t="str">
        <f aca="false">IFERROR(G171*'2.1.b Veículos'!E$54,"")</f>
        <v/>
      </c>
      <c r="H242" s="406" t="str">
        <f aca="false">IFERROR(H171*'2.1.b Veículos'!F$54,"")</f>
        <v/>
      </c>
      <c r="I242" s="406" t="str">
        <f aca="false">IFERROR(I171*'2.1.b Veículos'!G$54,"")</f>
        <v/>
      </c>
      <c r="J242" s="407"/>
    </row>
    <row r="243" customFormat="false" ht="15" hidden="true" customHeight="false" outlineLevel="0" collapsed="false">
      <c r="A243" s="408"/>
      <c r="B243" s="408"/>
      <c r="C243" s="408"/>
      <c r="D243" s="408"/>
      <c r="E243" s="391" t="n">
        <v>11</v>
      </c>
      <c r="F243" s="406" t="str">
        <f aca="false">IFERROR(F172*'2.1.b Veículos'!D$54,"")</f>
        <v/>
      </c>
      <c r="G243" s="406" t="str">
        <f aca="false">IFERROR(G172*'2.1.b Veículos'!E$54,"")</f>
        <v/>
      </c>
      <c r="H243" s="406" t="str">
        <f aca="false">IFERROR(H172*'2.1.b Veículos'!F$54,"")</f>
        <v/>
      </c>
      <c r="I243" s="406" t="str">
        <f aca="false">IFERROR(I172*'2.1.b Veículos'!G$54,"")</f>
        <v/>
      </c>
      <c r="J243" s="407"/>
    </row>
    <row r="244" customFormat="false" ht="15" hidden="true" customHeight="false" outlineLevel="0" collapsed="false">
      <c r="A244" s="408"/>
      <c r="B244" s="408"/>
      <c r="C244" s="408"/>
      <c r="D244" s="408"/>
      <c r="E244" s="391" t="n">
        <v>12</v>
      </c>
      <c r="F244" s="406" t="str">
        <f aca="false">IFERROR(F173*'2.1.b Veículos'!D$54,"")</f>
        <v/>
      </c>
      <c r="G244" s="406" t="str">
        <f aca="false">IFERROR(G173*'2.1.b Veículos'!E$54,"")</f>
        <v/>
      </c>
      <c r="H244" s="406" t="str">
        <f aca="false">IFERROR(H173*'2.1.b Veículos'!F$54,"")</f>
        <v/>
      </c>
      <c r="I244" s="406" t="str">
        <f aca="false">IFERROR(I173*'2.1.b Veículos'!G$54,"")</f>
        <v/>
      </c>
      <c r="J244" s="407"/>
    </row>
    <row r="245" customFormat="false" ht="15" hidden="false" customHeight="false" outlineLevel="0" collapsed="false">
      <c r="A245" s="407"/>
      <c r="B245" s="407"/>
      <c r="C245" s="407"/>
      <c r="D245" s="407"/>
      <c r="E245" s="407"/>
      <c r="F245" s="407"/>
      <c r="G245" s="407"/>
      <c r="H245" s="407"/>
      <c r="I245" s="407"/>
      <c r="J245" s="407"/>
    </row>
    <row r="246" customFormat="false" ht="15" hidden="false" customHeight="false" outlineLevel="0" collapsed="false">
      <c r="A246" s="407"/>
      <c r="B246" s="407"/>
      <c r="C246" s="407"/>
      <c r="D246" s="407"/>
      <c r="E246" s="407"/>
      <c r="F246" s="407"/>
      <c r="G246" s="407"/>
      <c r="H246" s="407"/>
      <c r="I246" s="407"/>
      <c r="J246" s="407"/>
    </row>
    <row r="247" customFormat="false" ht="15.75" hidden="false" customHeight="false" outlineLevel="0" collapsed="false">
      <c r="A247" s="48" t="s">
        <v>656</v>
      </c>
      <c r="B247" s="48" t="s">
        <v>657</v>
      </c>
    </row>
    <row r="248" customFormat="false" ht="21.75" hidden="false" customHeight="false" outlineLevel="0" collapsed="false">
      <c r="A248" s="409" t="s">
        <v>658</v>
      </c>
      <c r="B248" s="409"/>
      <c r="C248" s="409"/>
      <c r="D248" s="409"/>
      <c r="E248" s="409"/>
      <c r="F248" s="409"/>
      <c r="G248" s="410" t="n">
        <f aca="false">SUM(F178:I242)</f>
        <v>13979.6666666667</v>
      </c>
    </row>
  </sheetData>
  <mergeCells count="54">
    <mergeCell ref="A6:D7"/>
    <mergeCell ref="E6:E7"/>
    <mergeCell ref="F6:F7"/>
    <mergeCell ref="K6:N6"/>
    <mergeCell ref="A8:D8"/>
    <mergeCell ref="E8:E9"/>
    <mergeCell ref="F8:F9"/>
    <mergeCell ref="A9:D9"/>
    <mergeCell ref="A10:D10"/>
    <mergeCell ref="E10:E11"/>
    <mergeCell ref="F10:F11"/>
    <mergeCell ref="A11:D11"/>
    <mergeCell ref="A12:D12"/>
    <mergeCell ref="A13:D13"/>
    <mergeCell ref="E13:E14"/>
    <mergeCell ref="F13:F14"/>
    <mergeCell ref="A14:D14"/>
    <mergeCell ref="A17:C18"/>
    <mergeCell ref="E17:E18"/>
    <mergeCell ref="F17:F18"/>
    <mergeCell ref="A34:D35"/>
    <mergeCell ref="E34:E35"/>
    <mergeCell ref="F34:G34"/>
    <mergeCell ref="H34:I34"/>
    <mergeCell ref="A36:D41"/>
    <mergeCell ref="A42:D47"/>
    <mergeCell ref="A48:D56"/>
    <mergeCell ref="A57:D65"/>
    <mergeCell ref="A66:D76"/>
    <mergeCell ref="A77:D89"/>
    <mergeCell ref="A90:D102"/>
    <mergeCell ref="A105:D106"/>
    <mergeCell ref="E105:E106"/>
    <mergeCell ref="J105:J106"/>
    <mergeCell ref="A107:D112"/>
    <mergeCell ref="A113:D118"/>
    <mergeCell ref="A119:D127"/>
    <mergeCell ref="A128:D136"/>
    <mergeCell ref="A137:D147"/>
    <mergeCell ref="A148:D160"/>
    <mergeCell ref="A161:D173"/>
    <mergeCell ref="A176:D177"/>
    <mergeCell ref="E176:E177"/>
    <mergeCell ref="F176:G176"/>
    <mergeCell ref="H176:I176"/>
    <mergeCell ref="J176:J177"/>
    <mergeCell ref="A178:D183"/>
    <mergeCell ref="A184:D189"/>
    <mergeCell ref="A190:D198"/>
    <mergeCell ref="A199:D207"/>
    <mergeCell ref="A208:D218"/>
    <mergeCell ref="A219:D231"/>
    <mergeCell ref="A232:D244"/>
    <mergeCell ref="A248:F248"/>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R3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 activeCellId="0" sqref="D1"/>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3.57"/>
    <col collapsed="false" customWidth="true" hidden="false" outlineLevel="0" max="4" min="4" style="12" width="14.57"/>
    <col collapsed="false" customWidth="true" hidden="false" outlineLevel="0" max="5" min="5" style="12" width="16.29"/>
    <col collapsed="false" customWidth="true" hidden="false" outlineLevel="0" max="6" min="6" style="12" width="18.85"/>
    <col collapsed="false" customWidth="true" hidden="false" outlineLevel="0" max="7" min="7" style="12" width="4.14"/>
    <col collapsed="false" customWidth="true" hidden="false" outlineLevel="0" max="8" min="8" style="12" width="6.57"/>
    <col collapsed="false" customWidth="true" hidden="false" outlineLevel="0" max="9" min="9" style="12" width="10.58"/>
    <col collapsed="false" customWidth="true" hidden="false" outlineLevel="0" max="10" min="10" style="12" width="15.71"/>
    <col collapsed="false" customWidth="true" hidden="false" outlineLevel="0" max="11" min="11" style="12" width="38.7"/>
    <col collapsed="false" customWidth="true" hidden="false" outlineLevel="0" max="12" min="12" style="12" width="1.42"/>
    <col collapsed="false" customWidth="false" hidden="false" outlineLevel="0" max="17" min="13" style="12" width="11.42"/>
    <col collapsed="false" customWidth="true" hidden="false" outlineLevel="0" max="18" min="18" style="12" width="13.86"/>
    <col collapsed="false" customWidth="false" hidden="false" outlineLevel="0" max="1024" min="19" style="12" width="11.42"/>
  </cols>
  <sheetData>
    <row r="1" customFormat="false" ht="15" hidden="false" customHeight="false" outlineLevel="0" collapsed="false">
      <c r="A1" s="114" t="s">
        <v>638</v>
      </c>
    </row>
    <row r="2" customFormat="false" ht="15.75" hidden="false" customHeight="false" outlineLevel="0" collapsed="false"/>
    <row r="3" customFormat="false" ht="15.75" hidden="false" customHeight="false" outlineLevel="0" collapsed="false">
      <c r="A3" s="48" t="s">
        <v>659</v>
      </c>
      <c r="M3" s="15" t="s">
        <v>16</v>
      </c>
      <c r="N3" s="15"/>
      <c r="O3" s="15"/>
      <c r="P3" s="15"/>
    </row>
    <row r="4" customFormat="false" ht="15" hidden="false" customHeight="false" outlineLevel="0" collapsed="false">
      <c r="A4" s="48"/>
      <c r="M4" s="17"/>
      <c r="N4" s="18"/>
      <c r="O4" s="18"/>
      <c r="P4" s="19"/>
    </row>
    <row r="5" customFormat="false" ht="15" hidden="false" customHeight="false" outlineLevel="0" collapsed="false">
      <c r="A5" s="104" t="s">
        <v>660</v>
      </c>
      <c r="B5" s="48" t="s">
        <v>661</v>
      </c>
      <c r="M5" s="20"/>
      <c r="N5" s="21"/>
      <c r="O5" s="22" t="s">
        <v>18</v>
      </c>
      <c r="P5" s="23"/>
    </row>
    <row r="6" customFormat="false" ht="15" hidden="false" customHeight="false" outlineLevel="0" collapsed="false">
      <c r="A6" s="104"/>
      <c r="B6" s="48"/>
      <c r="M6" s="20"/>
      <c r="N6" s="27"/>
      <c r="O6" s="22" t="s">
        <v>20</v>
      </c>
      <c r="P6" s="23"/>
    </row>
    <row r="7" customFormat="false" ht="15.75" hidden="false" customHeight="true" outlineLevel="0" collapsed="false">
      <c r="A7" s="104"/>
      <c r="B7" s="48"/>
      <c r="E7" s="343" t="s">
        <v>642</v>
      </c>
      <c r="F7" s="343" t="s">
        <v>643</v>
      </c>
      <c r="M7" s="20"/>
      <c r="N7" s="28"/>
      <c r="O7" s="22" t="s">
        <v>22</v>
      </c>
      <c r="P7" s="23"/>
    </row>
    <row r="8" customFormat="false" ht="15.75" hidden="false" customHeight="true" outlineLevel="0" collapsed="false">
      <c r="A8" s="343" t="s">
        <v>662</v>
      </c>
      <c r="B8" s="343"/>
      <c r="C8" s="343"/>
      <c r="D8" s="343"/>
      <c r="E8" s="316" t="n">
        <v>25</v>
      </c>
      <c r="F8" s="316" t="n">
        <v>10</v>
      </c>
      <c r="M8" s="29"/>
      <c r="N8" s="30"/>
      <c r="O8" s="30"/>
      <c r="P8" s="31"/>
    </row>
    <row r="9" customFormat="false" ht="15.75" hidden="false" customHeight="true" outlineLevel="0" collapsed="false">
      <c r="A9" s="411" t="s">
        <v>663</v>
      </c>
      <c r="B9" s="411"/>
      <c r="C9" s="411"/>
      <c r="D9" s="411"/>
      <c r="E9" s="316" t="n">
        <v>10</v>
      </c>
      <c r="F9" s="316" t="n">
        <v>0</v>
      </c>
    </row>
    <row r="10" customFormat="false" ht="15" hidden="false" customHeight="true" outlineLevel="0" collapsed="false">
      <c r="A10" s="48"/>
      <c r="B10" s="48"/>
      <c r="C10" s="48"/>
      <c r="D10" s="48"/>
    </row>
    <row r="11" customFormat="false" ht="15" hidden="false" customHeight="false" outlineLevel="0" collapsed="false">
      <c r="A11" s="104" t="s">
        <v>664</v>
      </c>
      <c r="B11" s="48" t="s">
        <v>665</v>
      </c>
    </row>
    <row r="12" customFormat="false" ht="15" hidden="false" customHeight="false" outlineLevel="0" collapsed="false">
      <c r="A12" s="104"/>
      <c r="B12" s="48"/>
    </row>
    <row r="13" customFormat="false" ht="15.75" hidden="false" customHeight="false" outlineLevel="0" collapsed="false">
      <c r="B13" s="52" t="s">
        <v>666</v>
      </c>
      <c r="C13" s="52"/>
      <c r="D13" s="412" t="n">
        <f aca="false">IF('2.1.c Insumos'!F72="","Preencher CIE em Dados de Insumo",'2.1.c Insumos'!F72*(IF('2.1.c Insumos'!F74="",(1-'A.IX.b. Deprec. garagem equip. '!F8/100),(1-'2.1.c Insumos'!F74/100)))/(('2.1.b Veículos'!D58*SUM('1.3 Frota Total'!C19:F25))))</f>
        <v>0.0216649045877602</v>
      </c>
      <c r="E13" s="413"/>
      <c r="G13" s="343" t="s">
        <v>666</v>
      </c>
      <c r="H13" s="414" t="n">
        <f aca="false">8.16/100</f>
        <v>0.0816</v>
      </c>
      <c r="I13" s="11"/>
      <c r="R13" s="415"/>
    </row>
    <row r="15" customFormat="false" ht="15" hidden="false" customHeight="false" outlineLevel="0" collapsed="false">
      <c r="A15" s="104" t="s">
        <v>667</v>
      </c>
      <c r="B15" s="48" t="s">
        <v>668</v>
      </c>
    </row>
    <row r="16" customFormat="false" ht="15" hidden="false" customHeight="false" outlineLevel="0" collapsed="false">
      <c r="A16" s="104"/>
      <c r="B16" s="48"/>
    </row>
    <row r="17" customFormat="false" ht="15.75" hidden="false" customHeight="false" outlineLevel="0" collapsed="false">
      <c r="B17" s="52" t="s">
        <v>669</v>
      </c>
      <c r="C17" s="52"/>
      <c r="D17" s="412" t="n">
        <f aca="false">IF('2.1.c Insumos'!F75="","Preencher CIG em Dados de Insumo",'2.1.c Insumos'!F75*(IF('2.1.c Insumos'!F77="",(1-'A.IX.b. Deprec. garagem equip. '!F9/100),(1-'2.1.c Insumos'!F77/100)))/(('2.1.b Veículos'!D58*SUM('1.3 Frota Total'!C19:F25))))</f>
        <v>0.0162486784408201</v>
      </c>
      <c r="E17" s="413"/>
      <c r="G17" s="343" t="s">
        <v>669</v>
      </c>
      <c r="H17" s="414" t="n">
        <f aca="false">2.74/100</f>
        <v>0.0274</v>
      </c>
      <c r="I17" s="11"/>
    </row>
    <row r="19" customFormat="false" ht="15" hidden="false" customHeight="false" outlineLevel="0" collapsed="false">
      <c r="A19" s="48" t="s">
        <v>670</v>
      </c>
      <c r="B19" s="48" t="s">
        <v>671</v>
      </c>
    </row>
    <row r="20" customFormat="false" ht="15" hidden="false" customHeight="false" outlineLevel="0" collapsed="false">
      <c r="A20" s="48"/>
      <c r="B20" s="48"/>
    </row>
    <row r="21" customFormat="false" ht="15.75" hidden="false" customHeight="true" outlineLevel="0" collapsed="false">
      <c r="A21" s="343" t="s">
        <v>672</v>
      </c>
      <c r="B21" s="343"/>
      <c r="C21" s="343"/>
      <c r="D21" s="343"/>
      <c r="E21" s="343" t="s">
        <v>642</v>
      </c>
      <c r="F21" s="343" t="s">
        <v>643</v>
      </c>
    </row>
    <row r="22" customFormat="false" ht="16.5" hidden="false" customHeight="true" outlineLevel="0" collapsed="false">
      <c r="A22" s="343"/>
      <c r="B22" s="343"/>
      <c r="C22" s="343"/>
      <c r="D22" s="343"/>
      <c r="E22" s="316" t="n">
        <v>5</v>
      </c>
      <c r="F22" s="316" t="n">
        <v>0</v>
      </c>
      <c r="H22" s="416"/>
    </row>
    <row r="23" customFormat="false" ht="16.5" hidden="false" customHeight="true" outlineLevel="0" collapsed="false">
      <c r="A23" s="57"/>
      <c r="B23" s="57"/>
      <c r="C23" s="57"/>
      <c r="D23" s="57"/>
      <c r="E23" s="57"/>
      <c r="F23" s="57"/>
      <c r="H23" s="416"/>
    </row>
    <row r="24" s="57" customFormat="true" ht="16.5" hidden="false" customHeight="true" outlineLevel="0" collapsed="false">
      <c r="A24" s="48" t="s">
        <v>673</v>
      </c>
      <c r="B24" s="48" t="s">
        <v>674</v>
      </c>
      <c r="C24" s="12"/>
      <c r="D24" s="12"/>
      <c r="E24" s="12"/>
      <c r="F24" s="12"/>
    </row>
    <row r="25" s="57" customFormat="true" ht="16.5" hidden="false" customHeight="true" outlineLevel="0" collapsed="false">
      <c r="A25" s="48"/>
      <c r="B25" s="48"/>
      <c r="C25" s="12"/>
      <c r="D25" s="12"/>
      <c r="E25" s="12"/>
      <c r="F25" s="12"/>
    </row>
    <row r="26" customFormat="false" ht="15.75" hidden="false" customHeight="false" outlineLevel="0" collapsed="false">
      <c r="B26" s="52" t="s">
        <v>675</v>
      </c>
      <c r="C26" s="52"/>
      <c r="D26" s="412" t="n">
        <f aca="false">IF('2.1.c Insumos'!F78="","Preencher CEB em Dados de Insumo",'2.1.c Insumos'!F78*(IF('2.1.c Insumos'!F80="",(1-'A.IX.b. Deprec. garagem equip. '!F22/100),(1-'2.1.c Insumos'!F80/100)))/(('2.1.b Veículos'!D58*SUM('1.3 Frota Total'!C19:F25))))</f>
        <v>0.00324973568816403</v>
      </c>
      <c r="G26" s="343" t="s">
        <v>675</v>
      </c>
      <c r="H26" s="414" t="n">
        <v>0.04</v>
      </c>
      <c r="I26" s="11"/>
      <c r="R26" s="415"/>
    </row>
    <row r="28" customFormat="false" ht="15" hidden="false" customHeight="false" outlineLevel="0" collapsed="false">
      <c r="A28" s="48" t="s">
        <v>676</v>
      </c>
      <c r="B28" s="48" t="s">
        <v>677</v>
      </c>
      <c r="R28" s="415"/>
    </row>
    <row r="29" customFormat="false" ht="15" hidden="false" customHeight="false" outlineLevel="0" collapsed="false">
      <c r="A29" s="48"/>
      <c r="B29" s="48"/>
    </row>
    <row r="30" customFormat="false" ht="15.75" hidden="false" customHeight="true" outlineLevel="0" collapsed="false">
      <c r="A30" s="417" t="s">
        <v>678</v>
      </c>
      <c r="B30" s="417"/>
      <c r="C30" s="417"/>
      <c r="D30" s="417"/>
      <c r="E30" s="343" t="s">
        <v>642</v>
      </c>
      <c r="F30" s="343" t="s">
        <v>679</v>
      </c>
    </row>
    <row r="31" customFormat="false" ht="15" hidden="false" customHeight="false" outlineLevel="0" collapsed="false">
      <c r="A31" s="418" t="s">
        <v>167</v>
      </c>
      <c r="B31" s="418"/>
      <c r="C31" s="418"/>
      <c r="D31" s="418"/>
      <c r="E31" s="419" t="n">
        <v>15</v>
      </c>
      <c r="F31" s="420" t="n">
        <v>0.1</v>
      </c>
    </row>
    <row r="32" customFormat="false" ht="15" hidden="false" customHeight="false" outlineLevel="0" collapsed="false">
      <c r="A32" s="418" t="s">
        <v>168</v>
      </c>
      <c r="B32" s="418"/>
      <c r="C32" s="418"/>
      <c r="D32" s="418"/>
      <c r="E32" s="419" t="n">
        <v>15</v>
      </c>
      <c r="F32" s="420" t="n">
        <v>0.1</v>
      </c>
    </row>
    <row r="33" customFormat="false" ht="15" hidden="false" customHeight="false" outlineLevel="0" collapsed="false">
      <c r="A33" s="418" t="s">
        <v>169</v>
      </c>
      <c r="B33" s="418"/>
      <c r="C33" s="418"/>
      <c r="D33" s="418"/>
      <c r="E33" s="419" t="n">
        <v>8</v>
      </c>
      <c r="F33" s="420" t="n">
        <v>0.15</v>
      </c>
    </row>
    <row r="34" customFormat="false" ht="15" hidden="false" customHeight="false" outlineLevel="0" collapsed="false">
      <c r="A34" s="418" t="s">
        <v>170</v>
      </c>
      <c r="B34" s="418"/>
      <c r="C34" s="418"/>
      <c r="D34" s="418"/>
      <c r="E34" s="419" t="n">
        <v>5</v>
      </c>
      <c r="F34" s="420" t="n">
        <v>0.2</v>
      </c>
    </row>
    <row r="35" customFormat="false" ht="15" hidden="false" customHeight="false" outlineLevel="0" collapsed="false">
      <c r="A35" s="418" t="s">
        <v>171</v>
      </c>
      <c r="B35" s="418"/>
      <c r="C35" s="418"/>
      <c r="D35" s="418"/>
      <c r="E35" s="419" t="n">
        <v>5</v>
      </c>
      <c r="F35" s="420" t="n">
        <v>0.2</v>
      </c>
    </row>
  </sheetData>
  <mergeCells count="13">
    <mergeCell ref="M3:P3"/>
    <mergeCell ref="A8:D8"/>
    <mergeCell ref="A9:D9"/>
    <mergeCell ref="B13:C13"/>
    <mergeCell ref="B17:C17"/>
    <mergeCell ref="A21:D22"/>
    <mergeCell ref="B26:C26"/>
    <mergeCell ref="A30:D30"/>
    <mergeCell ref="A31:D31"/>
    <mergeCell ref="A32:D32"/>
    <mergeCell ref="A33:D33"/>
    <mergeCell ref="A34:D34"/>
    <mergeCell ref="A35:D35"/>
  </mergeCells>
  <hyperlinks>
    <hyperlink ref="A1" location="'2.1.c Insumos'!A1" display="ANEXO IX – DEPRECIAÇÃO"/>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O231"/>
  <sheetViews>
    <sheetView showFormulas="false" showGridLines="true" showRowColHeaders="true" showZeros="true" rightToLeft="false" tabSelected="false" showOutlineSymbols="true" defaultGridColor="true" view="normal" topLeftCell="A229" colorId="64" zoomScale="100" zoomScaleNormal="100" zoomScalePageLayoutView="100" workbookViewId="0">
      <selection pane="topLeft" activeCell="G231" activeCellId="0" sqref="G231"/>
    </sheetView>
  </sheetViews>
  <sheetFormatPr defaultColWidth="11.43359375" defaultRowHeight="15" zeroHeight="false" outlineLevelRow="0" outlineLevelCol="0"/>
  <cols>
    <col collapsed="false" customWidth="true" hidden="false" outlineLevel="0" max="1" min="1" style="12" width="5.57"/>
    <col collapsed="false" customWidth="true" hidden="false" outlineLevel="0" max="2" min="2" style="12" width="2.71"/>
    <col collapsed="false" customWidth="true" hidden="false" outlineLevel="0" max="3" min="3" style="12" width="3.57"/>
    <col collapsed="false" customWidth="true" hidden="false" outlineLevel="0" max="4" min="4" style="12" width="20.99"/>
    <col collapsed="false" customWidth="true" hidden="false" outlineLevel="0" max="5" min="5" style="12" width="15.71"/>
    <col collapsed="false" customWidth="true" hidden="false" outlineLevel="0" max="6" min="6" style="12" width="26.71"/>
    <col collapsed="false" customWidth="true" hidden="false" outlineLevel="0" max="7" min="7" style="12" width="26.85"/>
    <col collapsed="false" customWidth="true" hidden="false" outlineLevel="0" max="8" min="8" style="12" width="26.71"/>
    <col collapsed="false" customWidth="true" hidden="false" outlineLevel="0" max="9" min="9" style="12" width="26.85"/>
    <col collapsed="false" customWidth="true" hidden="false" outlineLevel="0" max="10" min="10" style="421" width="8.29"/>
    <col collapsed="false" customWidth="false" hidden="false" outlineLevel="0" max="11" min="11" style="12" width="11.42"/>
    <col collapsed="false" customWidth="true" hidden="false" outlineLevel="0" max="12" min="12" style="12" width="2"/>
    <col collapsed="false" customWidth="false" hidden="false" outlineLevel="0" max="13" min="13" style="12" width="11.42"/>
    <col collapsed="false" customWidth="true" hidden="false" outlineLevel="0" max="14" min="14" style="12" width="42.57"/>
    <col collapsed="false" customWidth="true" hidden="false" outlineLevel="0" max="15" min="15" style="12" width="1.85"/>
    <col collapsed="false" customWidth="false" hidden="false" outlineLevel="0" max="1024" min="16" style="12" width="11.42"/>
  </cols>
  <sheetData>
    <row r="1" customFormat="false" ht="15" hidden="false" customHeight="false" outlineLevel="0" collapsed="false">
      <c r="A1" s="36" t="s">
        <v>680</v>
      </c>
    </row>
    <row r="3" customFormat="false" ht="15" hidden="false" customHeight="false" outlineLevel="0" collapsed="false">
      <c r="A3" s="104" t="s">
        <v>681</v>
      </c>
      <c r="B3" s="48" t="s">
        <v>682</v>
      </c>
      <c r="C3" s="48"/>
    </row>
    <row r="5" customFormat="false" ht="15.75" hidden="false" customHeight="false" outlineLevel="0" collapsed="false">
      <c r="A5" s="104" t="s">
        <v>683</v>
      </c>
      <c r="B5" s="48" t="s">
        <v>641</v>
      </c>
    </row>
    <row r="6" customFormat="false" ht="15.75" hidden="false" customHeight="false" outlineLevel="0" collapsed="false">
      <c r="A6" s="345" t="s">
        <v>153</v>
      </c>
      <c r="B6" s="345"/>
      <c r="C6" s="345"/>
      <c r="D6" s="345"/>
      <c r="E6" s="319" t="s">
        <v>642</v>
      </c>
      <c r="F6" s="345" t="s">
        <v>643</v>
      </c>
      <c r="L6" s="15" t="s">
        <v>16</v>
      </c>
      <c r="M6" s="15"/>
      <c r="N6" s="15"/>
      <c r="O6" s="15"/>
    </row>
    <row r="7" customFormat="false" ht="15" hidden="false" customHeight="false" outlineLevel="0" collapsed="false">
      <c r="A7" s="345"/>
      <c r="B7" s="345"/>
      <c r="C7" s="345"/>
      <c r="D7" s="345"/>
      <c r="E7" s="319"/>
      <c r="F7" s="345"/>
      <c r="L7" s="17"/>
      <c r="M7" s="18"/>
      <c r="N7" s="18"/>
      <c r="O7" s="19"/>
    </row>
    <row r="8" customFormat="false" ht="15" hidden="false" customHeight="true" outlineLevel="0" collapsed="false">
      <c r="A8" s="346" t="s">
        <v>125</v>
      </c>
      <c r="B8" s="346"/>
      <c r="C8" s="346"/>
      <c r="D8" s="346"/>
      <c r="E8" s="347" t="n">
        <v>5</v>
      </c>
      <c r="F8" s="349" t="n">
        <v>0.15</v>
      </c>
      <c r="G8" s="49"/>
      <c r="L8" s="20"/>
      <c r="M8" s="21"/>
      <c r="N8" s="22" t="s">
        <v>18</v>
      </c>
      <c r="O8" s="23"/>
    </row>
    <row r="9" customFormat="false" ht="15" hidden="false" customHeight="false" outlineLevel="0" collapsed="false">
      <c r="A9" s="346" t="s">
        <v>129</v>
      </c>
      <c r="B9" s="346"/>
      <c r="C9" s="346"/>
      <c r="D9" s="346"/>
      <c r="E9" s="347" t="n">
        <v>5</v>
      </c>
      <c r="F9" s="349" t="n">
        <v>0.15</v>
      </c>
      <c r="G9" s="49"/>
      <c r="L9" s="20"/>
      <c r="M9" s="27"/>
      <c r="N9" s="22" t="s">
        <v>20</v>
      </c>
      <c r="O9" s="23"/>
    </row>
    <row r="10" customFormat="false" ht="15" hidden="false" customHeight="true" outlineLevel="0" collapsed="false">
      <c r="A10" s="346" t="s">
        <v>133</v>
      </c>
      <c r="B10" s="346"/>
      <c r="C10" s="346"/>
      <c r="D10" s="346"/>
      <c r="E10" s="347" t="n">
        <v>8</v>
      </c>
      <c r="F10" s="349" t="n">
        <v>0.1</v>
      </c>
      <c r="G10" s="49"/>
      <c r="L10" s="20"/>
      <c r="M10" s="28"/>
      <c r="N10" s="22" t="s">
        <v>22</v>
      </c>
      <c r="O10" s="23"/>
    </row>
    <row r="11" customFormat="false" ht="15.75" hidden="false" customHeight="false" outlineLevel="0" collapsed="false">
      <c r="A11" s="346" t="s">
        <v>137</v>
      </c>
      <c r="B11" s="346"/>
      <c r="C11" s="346"/>
      <c r="D11" s="346"/>
      <c r="E11" s="347" t="n">
        <v>8</v>
      </c>
      <c r="F11" s="349" t="n">
        <v>0.1</v>
      </c>
      <c r="G11" s="49"/>
      <c r="L11" s="29"/>
      <c r="M11" s="30"/>
      <c r="N11" s="30"/>
      <c r="O11" s="31"/>
    </row>
    <row r="12" customFormat="false" ht="15" hidden="false" customHeight="true" outlineLevel="0" collapsed="false">
      <c r="A12" s="346" t="s">
        <v>141</v>
      </c>
      <c r="B12" s="346"/>
      <c r="C12" s="346"/>
      <c r="D12" s="346"/>
      <c r="E12" s="347" t="n">
        <v>10</v>
      </c>
      <c r="F12" s="349" t="n">
        <v>0.1</v>
      </c>
      <c r="G12" s="49"/>
    </row>
    <row r="13" customFormat="false" ht="15" hidden="false" customHeight="false" outlineLevel="0" collapsed="false">
      <c r="A13" s="346" t="s">
        <v>143</v>
      </c>
      <c r="B13" s="346"/>
      <c r="C13" s="346"/>
      <c r="D13" s="346"/>
      <c r="E13" s="347" t="n">
        <v>12</v>
      </c>
      <c r="F13" s="349" t="n">
        <v>0.05</v>
      </c>
      <c r="G13" s="49"/>
    </row>
    <row r="14" customFormat="false" ht="15" hidden="false" customHeight="false" outlineLevel="0" collapsed="false">
      <c r="A14" s="346" t="s">
        <v>147</v>
      </c>
      <c r="B14" s="346"/>
      <c r="C14" s="346"/>
      <c r="D14" s="346"/>
      <c r="E14" s="347" t="n">
        <v>12</v>
      </c>
      <c r="F14" s="349" t="n">
        <v>0.05</v>
      </c>
      <c r="G14" s="49"/>
    </row>
    <row r="15" customFormat="false" ht="15" hidden="false" customHeight="false" outlineLevel="0" collapsed="false">
      <c r="A15" s="350"/>
      <c r="B15" s="350"/>
      <c r="C15" s="350"/>
      <c r="D15" s="350"/>
      <c r="E15" s="351"/>
      <c r="F15" s="352"/>
      <c r="G15" s="353"/>
    </row>
    <row r="16" customFormat="false" ht="15.75" hidden="false" customHeight="false" outlineLevel="0" collapsed="false">
      <c r="A16" s="104" t="s">
        <v>684</v>
      </c>
      <c r="B16" s="48" t="s">
        <v>652</v>
      </c>
    </row>
    <row r="17" customFormat="false" ht="15" hidden="false" customHeight="true" outlineLevel="0" collapsed="false">
      <c r="A17" s="364" t="s">
        <v>153</v>
      </c>
      <c r="B17" s="364"/>
      <c r="C17" s="364"/>
      <c r="D17" s="364"/>
      <c r="E17" s="364" t="s">
        <v>161</v>
      </c>
      <c r="F17" s="422" t="s">
        <v>154</v>
      </c>
      <c r="G17" s="422"/>
      <c r="H17" s="422" t="s">
        <v>155</v>
      </c>
      <c r="I17" s="422"/>
      <c r="J17" s="423" t="s">
        <v>685</v>
      </c>
    </row>
    <row r="18" customFormat="false" ht="15.75" hidden="false" customHeight="false" outlineLevel="0" collapsed="false">
      <c r="A18" s="364"/>
      <c r="B18" s="364"/>
      <c r="C18" s="364"/>
      <c r="D18" s="364"/>
      <c r="E18" s="364"/>
      <c r="F18" s="364" t="s">
        <v>156</v>
      </c>
      <c r="G18" s="364" t="s">
        <v>157</v>
      </c>
      <c r="H18" s="364" t="s">
        <v>156</v>
      </c>
      <c r="I18" s="364" t="s">
        <v>157</v>
      </c>
      <c r="J18" s="423"/>
    </row>
    <row r="19" customFormat="false" ht="15" hidden="true" customHeight="false" outlineLevel="0" collapsed="false">
      <c r="A19" s="366" t="s">
        <v>162</v>
      </c>
      <c r="B19" s="366"/>
      <c r="C19" s="366"/>
      <c r="D19" s="366"/>
      <c r="E19" s="367" t="n">
        <v>0</v>
      </c>
      <c r="F19" s="368" t="n">
        <f aca="false">'1.3 Frota Total'!E31</f>
        <v>0</v>
      </c>
      <c r="G19" s="368" t="n">
        <f aca="false">'1.3 Frota Total'!F31</f>
        <v>0</v>
      </c>
      <c r="H19" s="368" t="n">
        <f aca="false">'1.3 Frota Total'!G31</f>
        <v>0</v>
      </c>
      <c r="I19" s="424" t="n">
        <f aca="false">'1.3 Frota Total'!H31</f>
        <v>0</v>
      </c>
      <c r="J19" s="425" t="n">
        <v>1</v>
      </c>
    </row>
    <row r="20" customFormat="false" ht="15" hidden="true" customHeight="false" outlineLevel="0" collapsed="false">
      <c r="A20" s="366"/>
      <c r="B20" s="366"/>
      <c r="C20" s="366"/>
      <c r="D20" s="366"/>
      <c r="E20" s="370" t="n">
        <v>1</v>
      </c>
      <c r="F20" s="371" t="n">
        <f aca="false">'1.3 Frota Total'!E32</f>
        <v>0</v>
      </c>
      <c r="G20" s="371" t="n">
        <f aca="false">'1.3 Frota Total'!F32</f>
        <v>0</v>
      </c>
      <c r="H20" s="371" t="n">
        <f aca="false">'1.3 Frota Total'!G32</f>
        <v>0</v>
      </c>
      <c r="I20" s="426" t="n">
        <f aca="false">'1.3 Frota Total'!H32</f>
        <v>0</v>
      </c>
      <c r="J20" s="427" t="n">
        <f aca="false">1-'A.IX.a. Deprec. veículos'!D19*12</f>
        <v>1</v>
      </c>
      <c r="M20" s="428"/>
    </row>
    <row r="21" customFormat="false" ht="15" hidden="true" customHeight="false" outlineLevel="0" collapsed="false">
      <c r="A21" s="366"/>
      <c r="B21" s="366"/>
      <c r="C21" s="366"/>
      <c r="D21" s="366"/>
      <c r="E21" s="370" t="n">
        <v>2</v>
      </c>
      <c r="F21" s="371" t="n">
        <f aca="false">'1.3 Frota Total'!E33</f>
        <v>0</v>
      </c>
      <c r="G21" s="371" t="n">
        <f aca="false">'1.3 Frota Total'!F33</f>
        <v>0</v>
      </c>
      <c r="H21" s="371" t="n">
        <f aca="false">'1.3 Frota Total'!G33</f>
        <v>0</v>
      </c>
      <c r="I21" s="426" t="n">
        <f aca="false">'1.3 Frota Total'!H33</f>
        <v>0</v>
      </c>
      <c r="J21" s="427" t="n">
        <f aca="false">1-SUM('A.IX.a. Deprec. veículos'!D19:D20)*12</f>
        <v>1</v>
      </c>
      <c r="M21" s="428"/>
    </row>
    <row r="22" customFormat="false" ht="15" hidden="true" customHeight="false" outlineLevel="0" collapsed="false">
      <c r="A22" s="366"/>
      <c r="B22" s="366"/>
      <c r="C22" s="366"/>
      <c r="D22" s="366"/>
      <c r="E22" s="370" t="n">
        <v>3</v>
      </c>
      <c r="F22" s="371" t="n">
        <f aca="false">'1.3 Frota Total'!E34</f>
        <v>0</v>
      </c>
      <c r="G22" s="371" t="n">
        <f aca="false">'1.3 Frota Total'!F34</f>
        <v>0</v>
      </c>
      <c r="H22" s="371" t="n">
        <f aca="false">'1.3 Frota Total'!G34</f>
        <v>0</v>
      </c>
      <c r="I22" s="426" t="n">
        <f aca="false">'1.3 Frota Total'!H34</f>
        <v>0</v>
      </c>
      <c r="J22" s="427" t="n">
        <f aca="false">1-SUM('A.IX.a. Deprec. veículos'!D19:D21)*12</f>
        <v>1</v>
      </c>
      <c r="L22" s="96"/>
      <c r="M22" s="428"/>
    </row>
    <row r="23" customFormat="false" ht="15" hidden="true" customHeight="false" outlineLevel="0" collapsed="false">
      <c r="A23" s="366"/>
      <c r="B23" s="366"/>
      <c r="C23" s="366"/>
      <c r="D23" s="366"/>
      <c r="E23" s="370" t="n">
        <v>4</v>
      </c>
      <c r="F23" s="371" t="n">
        <f aca="false">'1.3 Frota Total'!E35</f>
        <v>0</v>
      </c>
      <c r="G23" s="371" t="n">
        <f aca="false">'1.3 Frota Total'!F35</f>
        <v>0</v>
      </c>
      <c r="H23" s="371" t="n">
        <f aca="false">'1.3 Frota Total'!G35</f>
        <v>0</v>
      </c>
      <c r="I23" s="426" t="n">
        <f aca="false">'1.3 Frota Total'!H35</f>
        <v>0</v>
      </c>
      <c r="J23" s="427" t="n">
        <f aca="false">1-SUM('A.IX.a. Deprec. veículos'!D19:D22)*12</f>
        <v>1</v>
      </c>
      <c r="M23" s="428"/>
    </row>
    <row r="24" customFormat="false" ht="15.75" hidden="true" customHeight="false" outlineLevel="0" collapsed="false">
      <c r="A24" s="366"/>
      <c r="B24" s="366"/>
      <c r="C24" s="366"/>
      <c r="D24" s="366"/>
      <c r="E24" s="373" t="n">
        <v>5</v>
      </c>
      <c r="F24" s="374" t="n">
        <f aca="false">'1.3 Frota Total'!E36</f>
        <v>0</v>
      </c>
      <c r="G24" s="374" t="n">
        <f aca="false">'1.3 Frota Total'!F36</f>
        <v>0</v>
      </c>
      <c r="H24" s="374" t="n">
        <f aca="false">'1.3 Frota Total'!G36</f>
        <v>0</v>
      </c>
      <c r="I24" s="429" t="n">
        <f aca="false">'1.3 Frota Total'!H36</f>
        <v>0</v>
      </c>
      <c r="J24" s="430" t="n">
        <f aca="false">1-SUM('A.IX.a. Deprec. veículos'!D19:D23)*12</f>
        <v>1</v>
      </c>
    </row>
    <row r="25" customFormat="false" ht="15" hidden="true" customHeight="false" outlineLevel="0" collapsed="false">
      <c r="A25" s="366" t="s">
        <v>129</v>
      </c>
      <c r="B25" s="366"/>
      <c r="C25" s="366"/>
      <c r="D25" s="366"/>
      <c r="E25" s="367" t="n">
        <v>0</v>
      </c>
      <c r="F25" s="368" t="n">
        <f aca="false">'1.3 Frota Total'!E37</f>
        <v>0</v>
      </c>
      <c r="G25" s="368" t="n">
        <f aca="false">'1.3 Frota Total'!F37</f>
        <v>0</v>
      </c>
      <c r="H25" s="368" t="n">
        <f aca="false">'1.3 Frota Total'!G37</f>
        <v>0</v>
      </c>
      <c r="I25" s="369" t="n">
        <f aca="false">'1.3 Frota Total'!H37</f>
        <v>0</v>
      </c>
      <c r="J25" s="425" t="n">
        <v>1</v>
      </c>
    </row>
    <row r="26" customFormat="false" ht="15" hidden="true" customHeight="false" outlineLevel="0" collapsed="false">
      <c r="A26" s="366"/>
      <c r="B26" s="366"/>
      <c r="C26" s="366"/>
      <c r="D26" s="366"/>
      <c r="E26" s="370" t="n">
        <v>1</v>
      </c>
      <c r="F26" s="371" t="n">
        <f aca="false">'1.3 Frota Total'!E38</f>
        <v>0</v>
      </c>
      <c r="G26" s="371" t="n">
        <f aca="false">'1.3 Frota Total'!F38</f>
        <v>0</v>
      </c>
      <c r="H26" s="371" t="n">
        <f aca="false">'1.3 Frota Total'!G38</f>
        <v>0</v>
      </c>
      <c r="I26" s="372" t="n">
        <f aca="false">'1.3 Frota Total'!H38</f>
        <v>0</v>
      </c>
      <c r="J26" s="427" t="n">
        <f aca="false">1-'A.IX.a. Deprec. veículos'!D19*12</f>
        <v>1</v>
      </c>
      <c r="M26" s="428"/>
    </row>
    <row r="27" customFormat="false" ht="15" hidden="true" customHeight="false" outlineLevel="0" collapsed="false">
      <c r="A27" s="366"/>
      <c r="B27" s="366"/>
      <c r="C27" s="366"/>
      <c r="D27" s="366"/>
      <c r="E27" s="370" t="n">
        <v>2</v>
      </c>
      <c r="F27" s="371" t="n">
        <f aca="false">'1.3 Frota Total'!E39</f>
        <v>0</v>
      </c>
      <c r="G27" s="371" t="n">
        <f aca="false">'1.3 Frota Total'!F39</f>
        <v>0</v>
      </c>
      <c r="H27" s="371" t="n">
        <f aca="false">'1.3 Frota Total'!G39</f>
        <v>0</v>
      </c>
      <c r="I27" s="372" t="n">
        <f aca="false">'1.3 Frota Total'!H39</f>
        <v>0</v>
      </c>
      <c r="J27" s="427" t="n">
        <f aca="false">1-SUM('A.IX.a. Deprec. veículos'!D19:D20)*12</f>
        <v>1</v>
      </c>
      <c r="M27" s="428"/>
    </row>
    <row r="28" customFormat="false" ht="15" hidden="true" customHeight="false" outlineLevel="0" collapsed="false">
      <c r="A28" s="366"/>
      <c r="B28" s="366"/>
      <c r="C28" s="366"/>
      <c r="D28" s="366"/>
      <c r="E28" s="370" t="n">
        <v>3</v>
      </c>
      <c r="F28" s="371" t="n">
        <f aca="false">'1.3 Frota Total'!E40</f>
        <v>0</v>
      </c>
      <c r="G28" s="371" t="n">
        <f aca="false">'1.3 Frota Total'!F40</f>
        <v>0</v>
      </c>
      <c r="H28" s="371" t="n">
        <f aca="false">'1.3 Frota Total'!G40</f>
        <v>0</v>
      </c>
      <c r="I28" s="372" t="n">
        <f aca="false">'1.3 Frota Total'!H40</f>
        <v>0</v>
      </c>
      <c r="J28" s="427" t="n">
        <f aca="false">1-SUM('A.IX.a. Deprec. veículos'!D19:D21)*12</f>
        <v>1</v>
      </c>
      <c r="M28" s="428"/>
    </row>
    <row r="29" customFormat="false" ht="15" hidden="true" customHeight="false" outlineLevel="0" collapsed="false">
      <c r="A29" s="366"/>
      <c r="B29" s="366"/>
      <c r="C29" s="366"/>
      <c r="D29" s="366"/>
      <c r="E29" s="370" t="n">
        <v>4</v>
      </c>
      <c r="F29" s="371" t="n">
        <f aca="false">'1.3 Frota Total'!E41</f>
        <v>0</v>
      </c>
      <c r="G29" s="371" t="n">
        <f aca="false">'1.3 Frota Total'!F41</f>
        <v>0</v>
      </c>
      <c r="H29" s="371" t="n">
        <f aca="false">'1.3 Frota Total'!G41</f>
        <v>0</v>
      </c>
      <c r="I29" s="372" t="n">
        <f aca="false">'1.3 Frota Total'!H41</f>
        <v>0</v>
      </c>
      <c r="J29" s="427" t="n">
        <f aca="false">1-SUM('A.IX.a. Deprec. veículos'!D19:D22)*12</f>
        <v>1</v>
      </c>
      <c r="M29" s="428"/>
    </row>
    <row r="30" customFormat="false" ht="15.75" hidden="true" customHeight="false" outlineLevel="0" collapsed="false">
      <c r="A30" s="366"/>
      <c r="B30" s="366"/>
      <c r="C30" s="366"/>
      <c r="D30" s="366"/>
      <c r="E30" s="373" t="n">
        <v>5</v>
      </c>
      <c r="F30" s="374" t="n">
        <f aca="false">'1.3 Frota Total'!E42</f>
        <v>0</v>
      </c>
      <c r="G30" s="374" t="n">
        <f aca="false">'1.3 Frota Total'!F42</f>
        <v>0</v>
      </c>
      <c r="H30" s="374" t="n">
        <f aca="false">'1.3 Frota Total'!G42</f>
        <v>0</v>
      </c>
      <c r="I30" s="375" t="n">
        <f aca="false">'1.3 Frota Total'!H42</f>
        <v>0</v>
      </c>
      <c r="J30" s="430" t="n">
        <f aca="false">1-SUM('A.IX.a. Deprec. veículos'!D19:D23)*12</f>
        <v>1</v>
      </c>
    </row>
    <row r="31" customFormat="false" ht="15" hidden="true" customHeight="false" outlineLevel="0" collapsed="false">
      <c r="A31" s="380" t="s">
        <v>133</v>
      </c>
      <c r="B31" s="380"/>
      <c r="C31" s="380"/>
      <c r="D31" s="380"/>
      <c r="E31" s="381" t="n">
        <v>0</v>
      </c>
      <c r="F31" s="382" t="n">
        <f aca="false">'1.3 Frota Total'!E43</f>
        <v>0</v>
      </c>
      <c r="G31" s="382" t="n">
        <f aca="false">'1.3 Frota Total'!F43</f>
        <v>0</v>
      </c>
      <c r="H31" s="382" t="n">
        <f aca="false">'1.3 Frota Total'!G43</f>
        <v>0</v>
      </c>
      <c r="I31" s="383" t="n">
        <f aca="false">'1.3 Frota Total'!H43</f>
        <v>0</v>
      </c>
      <c r="J31" s="431" t="n">
        <v>1</v>
      </c>
    </row>
    <row r="32" customFormat="false" ht="15" hidden="true" customHeight="false" outlineLevel="0" collapsed="false">
      <c r="A32" s="380"/>
      <c r="B32" s="380"/>
      <c r="C32" s="380"/>
      <c r="D32" s="380"/>
      <c r="E32" s="370" t="n">
        <v>1</v>
      </c>
      <c r="F32" s="371" t="n">
        <f aca="false">'1.3 Frota Total'!E44</f>
        <v>0</v>
      </c>
      <c r="G32" s="371" t="n">
        <f aca="false">'1.3 Frota Total'!F44</f>
        <v>0</v>
      </c>
      <c r="H32" s="371" t="n">
        <f aca="false">'1.3 Frota Total'!G44</f>
        <v>0</v>
      </c>
      <c r="I32" s="372" t="n">
        <f aca="false">'1.3 Frota Total'!H44</f>
        <v>0</v>
      </c>
      <c r="J32" s="427" t="n">
        <f aca="false">1-'A.IX.a. Deprec. veículos'!E19*12</f>
        <v>0.8</v>
      </c>
    </row>
    <row r="33" customFormat="false" ht="15" hidden="true" customHeight="false" outlineLevel="0" collapsed="false">
      <c r="A33" s="380"/>
      <c r="B33" s="380"/>
      <c r="C33" s="380"/>
      <c r="D33" s="380"/>
      <c r="E33" s="370" t="n">
        <v>2</v>
      </c>
      <c r="F33" s="371" t="n">
        <f aca="false">'1.3 Frota Total'!E45</f>
        <v>0</v>
      </c>
      <c r="G33" s="371" t="n">
        <f aca="false">'1.3 Frota Total'!F45</f>
        <v>0</v>
      </c>
      <c r="H33" s="371" t="n">
        <f aca="false">'1.3 Frota Total'!G45</f>
        <v>0</v>
      </c>
      <c r="I33" s="372" t="n">
        <f aca="false">'1.3 Frota Total'!H45</f>
        <v>0</v>
      </c>
      <c r="J33" s="427" t="n">
        <f aca="false">1-SUM('A.IX.a. Deprec. veículos'!E19:E20)*12</f>
        <v>0.625</v>
      </c>
    </row>
    <row r="34" customFormat="false" ht="15" hidden="true" customHeight="false" outlineLevel="0" collapsed="false">
      <c r="A34" s="380"/>
      <c r="B34" s="380"/>
      <c r="C34" s="380"/>
      <c r="D34" s="380"/>
      <c r="E34" s="370" t="n">
        <v>3</v>
      </c>
      <c r="F34" s="371" t="n">
        <f aca="false">'1.3 Frota Total'!E46</f>
        <v>0</v>
      </c>
      <c r="G34" s="371" t="n">
        <f aca="false">'1.3 Frota Total'!F46</f>
        <v>0</v>
      </c>
      <c r="H34" s="371" t="n">
        <f aca="false">'1.3 Frota Total'!G46</f>
        <v>0</v>
      </c>
      <c r="I34" s="372" t="n">
        <f aca="false">'1.3 Frota Total'!H46</f>
        <v>0</v>
      </c>
      <c r="J34" s="427" t="n">
        <f aca="false">1-SUM('A.IX.a. Deprec. veículos'!E19:E21)*12</f>
        <v>0.475</v>
      </c>
    </row>
    <row r="35" customFormat="false" ht="15" hidden="true" customHeight="false" outlineLevel="0" collapsed="false">
      <c r="A35" s="380"/>
      <c r="B35" s="380"/>
      <c r="C35" s="380"/>
      <c r="D35" s="380"/>
      <c r="E35" s="370" t="n">
        <v>4</v>
      </c>
      <c r="F35" s="371" t="n">
        <f aca="false">'1.3 Frota Total'!E47</f>
        <v>0</v>
      </c>
      <c r="G35" s="371" t="n">
        <f aca="false">'1.3 Frota Total'!F47</f>
        <v>0</v>
      </c>
      <c r="H35" s="371" t="n">
        <f aca="false">'1.3 Frota Total'!G47</f>
        <v>0</v>
      </c>
      <c r="I35" s="372" t="n">
        <f aca="false">'1.3 Frota Total'!H47</f>
        <v>0</v>
      </c>
      <c r="J35" s="427" t="n">
        <f aca="false">1-SUM('A.IX.a. Deprec. veículos'!E19:E22)*12</f>
        <v>0.35</v>
      </c>
    </row>
    <row r="36" customFormat="false" ht="15" hidden="true" customHeight="false" outlineLevel="0" collapsed="false">
      <c r="A36" s="380"/>
      <c r="B36" s="380"/>
      <c r="C36" s="380"/>
      <c r="D36" s="380"/>
      <c r="E36" s="370" t="n">
        <v>5</v>
      </c>
      <c r="F36" s="371" t="n">
        <f aca="false">'1.3 Frota Total'!E48</f>
        <v>0</v>
      </c>
      <c r="G36" s="371" t="n">
        <f aca="false">'1.3 Frota Total'!F48</f>
        <v>0</v>
      </c>
      <c r="H36" s="371" t="n">
        <f aca="false">'1.3 Frota Total'!G48</f>
        <v>0</v>
      </c>
      <c r="I36" s="372" t="n">
        <f aca="false">'1.3 Frota Total'!H48</f>
        <v>0</v>
      </c>
      <c r="J36" s="427" t="n">
        <f aca="false">1-SUM('A.IX.a. Deprec. veículos'!E19:E23)*12</f>
        <v>0.25</v>
      </c>
    </row>
    <row r="37" customFormat="false" ht="15" hidden="true" customHeight="false" outlineLevel="0" collapsed="false">
      <c r="A37" s="380"/>
      <c r="B37" s="380"/>
      <c r="C37" s="380"/>
      <c r="D37" s="380"/>
      <c r="E37" s="370" t="n">
        <v>6</v>
      </c>
      <c r="F37" s="371" t="n">
        <f aca="false">'1.3 Frota Total'!E49</f>
        <v>0</v>
      </c>
      <c r="G37" s="371" t="n">
        <f aca="false">'1.3 Frota Total'!F49</f>
        <v>0</v>
      </c>
      <c r="H37" s="371" t="n">
        <f aca="false">'1.3 Frota Total'!G49</f>
        <v>0</v>
      </c>
      <c r="I37" s="372" t="n">
        <f aca="false">'1.3 Frota Total'!H49</f>
        <v>0</v>
      </c>
      <c r="J37" s="427" t="n">
        <f aca="false">1-SUM('A.IX.a. Deprec. veículos'!E19:E24)*12</f>
        <v>0.175</v>
      </c>
    </row>
    <row r="38" customFormat="false" ht="15" hidden="true" customHeight="false" outlineLevel="0" collapsed="false">
      <c r="A38" s="380"/>
      <c r="B38" s="380"/>
      <c r="C38" s="380"/>
      <c r="D38" s="380"/>
      <c r="E38" s="370" t="n">
        <v>7</v>
      </c>
      <c r="F38" s="371" t="n">
        <f aca="false">'1.3 Frota Total'!E50</f>
        <v>0</v>
      </c>
      <c r="G38" s="371" t="n">
        <f aca="false">'1.3 Frota Total'!F50</f>
        <v>0</v>
      </c>
      <c r="H38" s="371" t="n">
        <f aca="false">'1.3 Frota Total'!G50</f>
        <v>0</v>
      </c>
      <c r="I38" s="372" t="n">
        <f aca="false">'1.3 Frota Total'!H50</f>
        <v>0</v>
      </c>
      <c r="J38" s="427" t="n">
        <f aca="false">1-SUM('A.IX.a. Deprec. veículos'!E19:E25)*12</f>
        <v>0.125</v>
      </c>
    </row>
    <row r="39" customFormat="false" ht="15.75" hidden="true" customHeight="false" outlineLevel="0" collapsed="false">
      <c r="A39" s="380"/>
      <c r="B39" s="380"/>
      <c r="C39" s="380"/>
      <c r="D39" s="380"/>
      <c r="E39" s="377" t="n">
        <v>8</v>
      </c>
      <c r="F39" s="371" t="n">
        <f aca="false">'1.3 Frota Total'!E51</f>
        <v>0</v>
      </c>
      <c r="G39" s="371" t="n">
        <f aca="false">'1.3 Frota Total'!F51</f>
        <v>0</v>
      </c>
      <c r="H39" s="371" t="n">
        <f aca="false">'1.3 Frota Total'!G51</f>
        <v>0</v>
      </c>
      <c r="I39" s="372" t="n">
        <f aca="false">'1.3 Frota Total'!H51</f>
        <v>0</v>
      </c>
      <c r="J39" s="430" t="n">
        <f aca="false">1-SUM('A.IX.a. Deprec. veículos'!E19:E26)*12</f>
        <v>0.0999999999999999</v>
      </c>
    </row>
    <row r="40" customFormat="false" ht="15" hidden="false" customHeight="false" outlineLevel="0" collapsed="false">
      <c r="A40" s="366" t="s">
        <v>137</v>
      </c>
      <c r="B40" s="366"/>
      <c r="C40" s="366"/>
      <c r="D40" s="366"/>
      <c r="E40" s="367" t="n">
        <v>0</v>
      </c>
      <c r="F40" s="368" t="n">
        <f aca="false">'1.3 Frota Total'!E52</f>
        <v>0</v>
      </c>
      <c r="G40" s="368" t="n">
        <f aca="false">'1.3 Frota Total'!F52</f>
        <v>0</v>
      </c>
      <c r="H40" s="368" t="n">
        <f aca="false">'1.3 Frota Total'!G52</f>
        <v>0</v>
      </c>
      <c r="I40" s="369" t="n">
        <f aca="false">'1.3 Frota Total'!H52</f>
        <v>0</v>
      </c>
      <c r="J40" s="425" t="n">
        <v>1</v>
      </c>
    </row>
    <row r="41" customFormat="false" ht="15" hidden="false" customHeight="false" outlineLevel="0" collapsed="false">
      <c r="A41" s="366"/>
      <c r="B41" s="366"/>
      <c r="C41" s="366"/>
      <c r="D41" s="366"/>
      <c r="E41" s="370" t="n">
        <v>1</v>
      </c>
      <c r="F41" s="371" t="n">
        <f aca="false">'1.3 Frota Total'!E53</f>
        <v>0</v>
      </c>
      <c r="G41" s="371" t="n">
        <f aca="false">'1.3 Frota Total'!F53</f>
        <v>0</v>
      </c>
      <c r="H41" s="371" t="n">
        <f aca="false">'1.3 Frota Total'!G53</f>
        <v>0</v>
      </c>
      <c r="I41" s="372" t="n">
        <f aca="false">'1.3 Frota Total'!H53</f>
        <v>0</v>
      </c>
      <c r="J41" s="427" t="n">
        <f aca="false">1-'A.IX.a. Deprec. veículos'!E19*12</f>
        <v>0.8</v>
      </c>
    </row>
    <row r="42" customFormat="false" ht="15" hidden="false" customHeight="false" outlineLevel="0" collapsed="false">
      <c r="A42" s="366"/>
      <c r="B42" s="366"/>
      <c r="C42" s="366"/>
      <c r="D42" s="366"/>
      <c r="E42" s="370" t="n">
        <v>2</v>
      </c>
      <c r="F42" s="371" t="n">
        <f aca="false">'1.3 Frota Total'!E54</f>
        <v>0</v>
      </c>
      <c r="G42" s="371" t="n">
        <f aca="false">'1.3 Frota Total'!F54</f>
        <v>0</v>
      </c>
      <c r="H42" s="371" t="n">
        <f aca="false">'1.3 Frota Total'!G54</f>
        <v>0</v>
      </c>
      <c r="I42" s="372" t="n">
        <f aca="false">'1.3 Frota Total'!H54</f>
        <v>0</v>
      </c>
      <c r="J42" s="427" t="n">
        <f aca="false">1-SUM('A.IX.a. Deprec. veículos'!E19:E20)*12</f>
        <v>0.625</v>
      </c>
    </row>
    <row r="43" customFormat="false" ht="15" hidden="false" customHeight="false" outlineLevel="0" collapsed="false">
      <c r="A43" s="366"/>
      <c r="B43" s="366"/>
      <c r="C43" s="366"/>
      <c r="D43" s="366"/>
      <c r="E43" s="370" t="n">
        <v>3</v>
      </c>
      <c r="F43" s="371" t="n">
        <f aca="false">'1.3 Frota Total'!E55</f>
        <v>0</v>
      </c>
      <c r="G43" s="371" t="n">
        <f aca="false">'1.3 Frota Total'!F55</f>
        <v>0</v>
      </c>
      <c r="H43" s="371" t="n">
        <f aca="false">'1.3 Frota Total'!G55</f>
        <v>0</v>
      </c>
      <c r="I43" s="372" t="n">
        <f aca="false">'1.3 Frota Total'!H55</f>
        <v>0</v>
      </c>
      <c r="J43" s="427" t="n">
        <f aca="false">1-SUM('A.IX.a. Deprec. veículos'!E19:E21)*12</f>
        <v>0.475</v>
      </c>
    </row>
    <row r="44" customFormat="false" ht="15" hidden="false" customHeight="false" outlineLevel="0" collapsed="false">
      <c r="A44" s="366"/>
      <c r="B44" s="366"/>
      <c r="C44" s="366"/>
      <c r="D44" s="366"/>
      <c r="E44" s="370" t="n">
        <v>4</v>
      </c>
      <c r="F44" s="371" t="n">
        <f aca="false">'1.3 Frota Total'!E56</f>
        <v>0</v>
      </c>
      <c r="G44" s="371" t="n">
        <f aca="false">'1.3 Frota Total'!F56</f>
        <v>0</v>
      </c>
      <c r="H44" s="371" t="n">
        <f aca="false">'1.3 Frota Total'!G56</f>
        <v>0</v>
      </c>
      <c r="I44" s="372" t="n">
        <f aca="false">'1.3 Frota Total'!H56</f>
        <v>0</v>
      </c>
      <c r="J44" s="427" t="n">
        <f aca="false">1-SUM('A.IX.a. Deprec. veículos'!E19:E22)*12</f>
        <v>0.35</v>
      </c>
    </row>
    <row r="45" customFormat="false" ht="15" hidden="false" customHeight="false" outlineLevel="0" collapsed="false">
      <c r="A45" s="366"/>
      <c r="B45" s="366"/>
      <c r="C45" s="366"/>
      <c r="D45" s="366"/>
      <c r="E45" s="370" t="n">
        <v>5</v>
      </c>
      <c r="F45" s="371" t="n">
        <f aca="false">'1.3 Frota Total'!E57</f>
        <v>2</v>
      </c>
      <c r="G45" s="371" t="n">
        <f aca="false">'1.3 Frota Total'!F57</f>
        <v>0</v>
      </c>
      <c r="H45" s="371" t="n">
        <f aca="false">'1.3 Frota Total'!G57</f>
        <v>0</v>
      </c>
      <c r="I45" s="372" t="n">
        <f aca="false">'1.3 Frota Total'!H57</f>
        <v>0</v>
      </c>
      <c r="J45" s="427" t="n">
        <f aca="false">1-SUM('A.IX.a. Deprec. veículos'!E19:E23)*12</f>
        <v>0.25</v>
      </c>
    </row>
    <row r="46" customFormat="false" ht="15" hidden="false" customHeight="false" outlineLevel="0" collapsed="false">
      <c r="A46" s="366"/>
      <c r="B46" s="366"/>
      <c r="C46" s="366"/>
      <c r="D46" s="366"/>
      <c r="E46" s="370" t="n">
        <v>6</v>
      </c>
      <c r="F46" s="371" t="n">
        <f aca="false">'1.3 Frota Total'!E58</f>
        <v>0</v>
      </c>
      <c r="G46" s="371" t="n">
        <f aca="false">'1.3 Frota Total'!F58</f>
        <v>0</v>
      </c>
      <c r="H46" s="371" t="n">
        <f aca="false">'1.3 Frota Total'!G58</f>
        <v>2</v>
      </c>
      <c r="I46" s="372" t="n">
        <f aca="false">'1.3 Frota Total'!H58</f>
        <v>0</v>
      </c>
      <c r="J46" s="427" t="n">
        <f aca="false">1-SUM('A.IX.a. Deprec. veículos'!E19:E24)*12</f>
        <v>0.175</v>
      </c>
    </row>
    <row r="47" customFormat="false" ht="15" hidden="false" customHeight="false" outlineLevel="0" collapsed="false">
      <c r="A47" s="366"/>
      <c r="B47" s="366"/>
      <c r="C47" s="366"/>
      <c r="D47" s="366"/>
      <c r="E47" s="370" t="n">
        <v>7</v>
      </c>
      <c r="F47" s="371" t="n">
        <f aca="false">'1.3 Frota Total'!E59</f>
        <v>0</v>
      </c>
      <c r="G47" s="371" t="n">
        <f aca="false">'1.3 Frota Total'!F59</f>
        <v>0</v>
      </c>
      <c r="H47" s="371" t="n">
        <f aca="false">'1.3 Frota Total'!G59</f>
        <v>0</v>
      </c>
      <c r="I47" s="372" t="n">
        <f aca="false">'1.3 Frota Total'!H59</f>
        <v>0</v>
      </c>
      <c r="J47" s="427" t="n">
        <f aca="false">1-SUM('A.IX.a. Deprec. veículos'!E19:E25)*12</f>
        <v>0.125</v>
      </c>
    </row>
    <row r="48" customFormat="false" ht="15.75" hidden="false" customHeight="false" outlineLevel="0" collapsed="false">
      <c r="A48" s="366"/>
      <c r="B48" s="366"/>
      <c r="C48" s="366"/>
      <c r="D48" s="366"/>
      <c r="E48" s="373" t="n">
        <v>8</v>
      </c>
      <c r="F48" s="371" t="n">
        <f aca="false">'1.3 Frota Total'!E60</f>
        <v>12</v>
      </c>
      <c r="G48" s="374" t="n">
        <f aca="false">'1.3 Frota Total'!F60</f>
        <v>0</v>
      </c>
      <c r="H48" s="374" t="n">
        <f aca="false">'1.3 Frota Total'!G60</f>
        <v>0</v>
      </c>
      <c r="I48" s="375" t="n">
        <f aca="false">'1.3 Frota Total'!H60</f>
        <v>0</v>
      </c>
      <c r="J48" s="430" t="n">
        <f aca="false">1-SUM('A.IX.a. Deprec. veículos'!E19:E26)*12</f>
        <v>0.0999999999999999</v>
      </c>
    </row>
    <row r="49" customFormat="false" ht="15" hidden="true" customHeight="false" outlineLevel="0" collapsed="false">
      <c r="A49" s="432" t="s">
        <v>141</v>
      </c>
      <c r="B49" s="432"/>
      <c r="C49" s="432"/>
      <c r="D49" s="432"/>
      <c r="E49" s="381" t="n">
        <v>0</v>
      </c>
      <c r="F49" s="382" t="n">
        <f aca="false">'1.3 Frota Total'!E61</f>
        <v>0</v>
      </c>
      <c r="G49" s="382" t="n">
        <f aca="false">'1.3 Frota Total'!F61</f>
        <v>0</v>
      </c>
      <c r="H49" s="382" t="n">
        <f aca="false">'1.3 Frota Total'!G61</f>
        <v>0</v>
      </c>
      <c r="I49" s="433" t="n">
        <f aca="false">'1.3 Frota Total'!H61</f>
        <v>0</v>
      </c>
      <c r="J49" s="434" t="n">
        <v>1</v>
      </c>
    </row>
    <row r="50" customFormat="false" ht="15" hidden="true" customHeight="false" outlineLevel="0" collapsed="false">
      <c r="A50" s="432"/>
      <c r="B50" s="432"/>
      <c r="C50" s="432"/>
      <c r="D50" s="432"/>
      <c r="E50" s="370" t="n">
        <v>1</v>
      </c>
      <c r="F50" s="371" t="n">
        <f aca="false">'1.3 Frota Total'!E62</f>
        <v>0</v>
      </c>
      <c r="G50" s="371" t="n">
        <f aca="false">'1.3 Frota Total'!F62</f>
        <v>0</v>
      </c>
      <c r="H50" s="371" t="n">
        <f aca="false">'1.3 Frota Total'!G62</f>
        <v>0</v>
      </c>
      <c r="I50" s="426" t="n">
        <f aca="false">'1.3 Frota Total'!H62</f>
        <v>0</v>
      </c>
      <c r="J50" s="435" t="n">
        <f aca="false">1-'A.IX.a. Deprec. veículos'!F19*12</f>
        <v>0.836363636363636</v>
      </c>
    </row>
    <row r="51" customFormat="false" ht="15" hidden="true" customHeight="false" outlineLevel="0" collapsed="false">
      <c r="A51" s="432"/>
      <c r="B51" s="432"/>
      <c r="C51" s="432"/>
      <c r="D51" s="432"/>
      <c r="E51" s="370" t="n">
        <v>2</v>
      </c>
      <c r="F51" s="371" t="n">
        <f aca="false">'1.3 Frota Total'!E63</f>
        <v>0</v>
      </c>
      <c r="G51" s="371" t="n">
        <f aca="false">'1.3 Frota Total'!F63</f>
        <v>0</v>
      </c>
      <c r="H51" s="371" t="n">
        <f aca="false">'1.3 Frota Total'!G63</f>
        <v>0</v>
      </c>
      <c r="I51" s="426" t="n">
        <f aca="false">'1.3 Frota Total'!H63</f>
        <v>0</v>
      </c>
      <c r="J51" s="435" t="n">
        <f aca="false">1-SUM('A.IX.a. Deprec. veículos'!F19:F20)*12</f>
        <v>0.689090909090909</v>
      </c>
    </row>
    <row r="52" customFormat="false" ht="15" hidden="true" customHeight="false" outlineLevel="0" collapsed="false">
      <c r="A52" s="432"/>
      <c r="B52" s="432"/>
      <c r="C52" s="432"/>
      <c r="D52" s="432"/>
      <c r="E52" s="370" t="n">
        <v>3</v>
      </c>
      <c r="F52" s="371" t="n">
        <f aca="false">'1.3 Frota Total'!E64</f>
        <v>0</v>
      </c>
      <c r="G52" s="371" t="n">
        <f aca="false">'1.3 Frota Total'!F64</f>
        <v>0</v>
      </c>
      <c r="H52" s="371" t="n">
        <f aca="false">'1.3 Frota Total'!G64</f>
        <v>0</v>
      </c>
      <c r="I52" s="426" t="n">
        <f aca="false">'1.3 Frota Total'!H64</f>
        <v>0</v>
      </c>
      <c r="J52" s="435" t="n">
        <f aca="false">1-SUM('A.IX.a. Deprec. veículos'!F19:F21)*12</f>
        <v>0.558181818181818</v>
      </c>
    </row>
    <row r="53" customFormat="false" ht="15" hidden="true" customHeight="false" outlineLevel="0" collapsed="false">
      <c r="A53" s="432"/>
      <c r="B53" s="432"/>
      <c r="C53" s="432"/>
      <c r="D53" s="432"/>
      <c r="E53" s="370" t="n">
        <v>4</v>
      </c>
      <c r="F53" s="371" t="n">
        <f aca="false">'1.3 Frota Total'!E65</f>
        <v>0</v>
      </c>
      <c r="G53" s="371" t="n">
        <f aca="false">'1.3 Frota Total'!F65</f>
        <v>0</v>
      </c>
      <c r="H53" s="371" t="n">
        <f aca="false">'1.3 Frota Total'!G65</f>
        <v>0</v>
      </c>
      <c r="I53" s="426" t="n">
        <f aca="false">'1.3 Frota Total'!H65</f>
        <v>0</v>
      </c>
      <c r="J53" s="435" t="n">
        <f aca="false">1-SUM('A.IX.a. Deprec. veículos'!F19:F22)*12</f>
        <v>0.443636363636364</v>
      </c>
    </row>
    <row r="54" customFormat="false" ht="15" hidden="true" customHeight="false" outlineLevel="0" collapsed="false">
      <c r="A54" s="432"/>
      <c r="B54" s="432"/>
      <c r="C54" s="432"/>
      <c r="D54" s="432"/>
      <c r="E54" s="370" t="n">
        <v>5</v>
      </c>
      <c r="F54" s="371" t="n">
        <f aca="false">'1.3 Frota Total'!E66</f>
        <v>0</v>
      </c>
      <c r="G54" s="371" t="n">
        <f aca="false">'1.3 Frota Total'!F66</f>
        <v>0</v>
      </c>
      <c r="H54" s="371" t="n">
        <f aca="false">'1.3 Frota Total'!G66</f>
        <v>0</v>
      </c>
      <c r="I54" s="426" t="n">
        <f aca="false">'1.3 Frota Total'!H66</f>
        <v>0</v>
      </c>
      <c r="J54" s="435" t="n">
        <f aca="false">1-SUM('A.IX.a. Deprec. veículos'!F19:F23)*12</f>
        <v>0.345454545454545</v>
      </c>
    </row>
    <row r="55" customFormat="false" ht="15" hidden="true" customHeight="false" outlineLevel="0" collapsed="false">
      <c r="A55" s="432"/>
      <c r="B55" s="432"/>
      <c r="C55" s="432"/>
      <c r="D55" s="432"/>
      <c r="E55" s="370" t="n">
        <v>6</v>
      </c>
      <c r="F55" s="371" t="n">
        <f aca="false">'1.3 Frota Total'!E67</f>
        <v>0</v>
      </c>
      <c r="G55" s="371" t="n">
        <f aca="false">'1.3 Frota Total'!F67</f>
        <v>0</v>
      </c>
      <c r="H55" s="371" t="n">
        <f aca="false">'1.3 Frota Total'!G67</f>
        <v>0</v>
      </c>
      <c r="I55" s="426" t="n">
        <f aca="false">'1.3 Frota Total'!H67</f>
        <v>0</v>
      </c>
      <c r="J55" s="435" t="n">
        <f aca="false">1-SUM('A.IX.a. Deprec. veículos'!F19:F24)*12</f>
        <v>0.263636363636364</v>
      </c>
    </row>
    <row r="56" customFormat="false" ht="15" hidden="true" customHeight="false" outlineLevel="0" collapsed="false">
      <c r="A56" s="432"/>
      <c r="B56" s="432"/>
      <c r="C56" s="432"/>
      <c r="D56" s="432"/>
      <c r="E56" s="370" t="n">
        <v>7</v>
      </c>
      <c r="F56" s="371" t="n">
        <f aca="false">'1.3 Frota Total'!E68</f>
        <v>0</v>
      </c>
      <c r="G56" s="371" t="n">
        <f aca="false">'1.3 Frota Total'!F68</f>
        <v>0</v>
      </c>
      <c r="H56" s="371" t="n">
        <f aca="false">'1.3 Frota Total'!G68</f>
        <v>0</v>
      </c>
      <c r="I56" s="426" t="n">
        <f aca="false">'1.3 Frota Total'!H68</f>
        <v>0</v>
      </c>
      <c r="J56" s="435" t="n">
        <f aca="false">1-SUM('A.IX.a. Deprec. veículos'!F19:F25)*12</f>
        <v>0.198181818181818</v>
      </c>
    </row>
    <row r="57" customFormat="false" ht="15" hidden="true" customHeight="false" outlineLevel="0" collapsed="false">
      <c r="A57" s="432"/>
      <c r="B57" s="432"/>
      <c r="C57" s="432"/>
      <c r="D57" s="432"/>
      <c r="E57" s="370" t="n">
        <v>8</v>
      </c>
      <c r="F57" s="371" t="n">
        <f aca="false">'1.3 Frota Total'!E69</f>
        <v>0</v>
      </c>
      <c r="G57" s="371" t="n">
        <f aca="false">'1.3 Frota Total'!F69</f>
        <v>0</v>
      </c>
      <c r="H57" s="371" t="n">
        <f aca="false">'1.3 Frota Total'!G69</f>
        <v>0</v>
      </c>
      <c r="I57" s="426" t="n">
        <f aca="false">'1.3 Frota Total'!H69</f>
        <v>0</v>
      </c>
      <c r="J57" s="435" t="n">
        <f aca="false">1-SUM('A.IX.a. Deprec. veículos'!F19:F26)*12</f>
        <v>0.149090909090909</v>
      </c>
    </row>
    <row r="58" customFormat="false" ht="15" hidden="true" customHeight="false" outlineLevel="0" collapsed="false">
      <c r="A58" s="432"/>
      <c r="B58" s="432"/>
      <c r="C58" s="432"/>
      <c r="D58" s="432"/>
      <c r="E58" s="370" t="n">
        <v>9</v>
      </c>
      <c r="F58" s="371" t="n">
        <f aca="false">'1.3 Frota Total'!E70</f>
        <v>0</v>
      </c>
      <c r="G58" s="371" t="n">
        <f aca="false">'1.3 Frota Total'!F70</f>
        <v>0</v>
      </c>
      <c r="H58" s="371" t="n">
        <f aca="false">'1.3 Frota Total'!G70</f>
        <v>0</v>
      </c>
      <c r="I58" s="426" t="n">
        <f aca="false">'1.3 Frota Total'!H70</f>
        <v>0</v>
      </c>
      <c r="J58" s="435" t="n">
        <f aca="false">1-SUM('A.IX.a. Deprec. veículos'!F19:F27)*12</f>
        <v>0.116363636363636</v>
      </c>
    </row>
    <row r="59" customFormat="false" ht="15.75" hidden="true" customHeight="false" outlineLevel="0" collapsed="false">
      <c r="A59" s="432"/>
      <c r="B59" s="432"/>
      <c r="C59" s="432"/>
      <c r="D59" s="432"/>
      <c r="E59" s="373" t="n">
        <v>10</v>
      </c>
      <c r="F59" s="374" t="n">
        <f aca="false">'1.3 Frota Total'!E71</f>
        <v>0</v>
      </c>
      <c r="G59" s="374" t="n">
        <f aca="false">'1.3 Frota Total'!F71</f>
        <v>0</v>
      </c>
      <c r="H59" s="374" t="n">
        <f aca="false">'1.3 Frota Total'!G71</f>
        <v>0</v>
      </c>
      <c r="I59" s="429" t="n">
        <f aca="false">'1.3 Frota Total'!H71</f>
        <v>0</v>
      </c>
      <c r="J59" s="436" t="n">
        <f aca="false">1-SUM('A.IX.a. Deprec. veículos'!F19:F28)*12</f>
        <v>0.0999999999999999</v>
      </c>
    </row>
    <row r="60" customFormat="false" ht="15" hidden="true" customHeight="false" outlineLevel="0" collapsed="false">
      <c r="A60" s="376" t="s">
        <v>143</v>
      </c>
      <c r="B60" s="376"/>
      <c r="C60" s="376"/>
      <c r="D60" s="376"/>
      <c r="E60" s="367" t="n">
        <v>0</v>
      </c>
      <c r="F60" s="368" t="n">
        <f aca="false">'1.3 Frota Total'!E72</f>
        <v>0</v>
      </c>
      <c r="G60" s="368" t="n">
        <f aca="false">'1.3 Frota Total'!F72</f>
        <v>0</v>
      </c>
      <c r="H60" s="368" t="n">
        <f aca="false">'1.3 Frota Total'!G72</f>
        <v>0</v>
      </c>
      <c r="I60" s="369" t="n">
        <f aca="false">'1.3 Frota Total'!H72</f>
        <v>0</v>
      </c>
      <c r="J60" s="425" t="n">
        <v>1</v>
      </c>
    </row>
    <row r="61" customFormat="false" ht="15" hidden="true" customHeight="false" outlineLevel="0" collapsed="false">
      <c r="A61" s="376"/>
      <c r="B61" s="376"/>
      <c r="C61" s="376"/>
      <c r="D61" s="376"/>
      <c r="E61" s="370" t="n">
        <v>1</v>
      </c>
      <c r="F61" s="371" t="n">
        <f aca="false">'1.3 Frota Total'!E73</f>
        <v>0</v>
      </c>
      <c r="G61" s="371" t="n">
        <f aca="false">'1.3 Frota Total'!F73</f>
        <v>0</v>
      </c>
      <c r="H61" s="371" t="n">
        <f aca="false">'1.3 Frota Total'!G73</f>
        <v>0</v>
      </c>
      <c r="I61" s="372" t="n">
        <f aca="false">'1.3 Frota Total'!H73</f>
        <v>0</v>
      </c>
      <c r="J61" s="427" t="n">
        <f aca="false">1-'A.IX.a. Deprec. veículos'!G19*12</f>
        <v>1</v>
      </c>
    </row>
    <row r="62" customFormat="false" ht="15" hidden="true" customHeight="false" outlineLevel="0" collapsed="false">
      <c r="A62" s="376"/>
      <c r="B62" s="376"/>
      <c r="C62" s="376"/>
      <c r="D62" s="376"/>
      <c r="E62" s="370" t="n">
        <v>2</v>
      </c>
      <c r="F62" s="371" t="n">
        <f aca="false">'1.3 Frota Total'!E74</f>
        <v>0</v>
      </c>
      <c r="G62" s="371" t="n">
        <f aca="false">'1.3 Frota Total'!F74</f>
        <v>0</v>
      </c>
      <c r="H62" s="371" t="n">
        <f aca="false">'1.3 Frota Total'!G74</f>
        <v>0</v>
      </c>
      <c r="I62" s="372" t="n">
        <f aca="false">'1.3 Frota Total'!H74</f>
        <v>0</v>
      </c>
      <c r="J62" s="427" t="n">
        <f aca="false">1-SUM('A.IX.a. Deprec. veículos'!G19:G20)*12</f>
        <v>1</v>
      </c>
    </row>
    <row r="63" customFormat="false" ht="15" hidden="true" customHeight="false" outlineLevel="0" collapsed="false">
      <c r="A63" s="376"/>
      <c r="B63" s="376"/>
      <c r="C63" s="376"/>
      <c r="D63" s="376"/>
      <c r="E63" s="370" t="n">
        <v>3</v>
      </c>
      <c r="F63" s="371" t="n">
        <f aca="false">'1.3 Frota Total'!E75</f>
        <v>0</v>
      </c>
      <c r="G63" s="371" t="n">
        <f aca="false">'1.3 Frota Total'!F75</f>
        <v>0</v>
      </c>
      <c r="H63" s="371" t="n">
        <f aca="false">'1.3 Frota Total'!G75</f>
        <v>0</v>
      </c>
      <c r="I63" s="372" t="n">
        <f aca="false">'1.3 Frota Total'!H75</f>
        <v>0</v>
      </c>
      <c r="J63" s="427" t="n">
        <f aca="false">1-SUM('A.IX.a. Deprec. veículos'!G19:G21)*12</f>
        <v>1</v>
      </c>
    </row>
    <row r="64" customFormat="false" ht="15" hidden="true" customHeight="false" outlineLevel="0" collapsed="false">
      <c r="A64" s="376"/>
      <c r="B64" s="376"/>
      <c r="C64" s="376"/>
      <c r="D64" s="376"/>
      <c r="E64" s="370" t="n">
        <v>4</v>
      </c>
      <c r="F64" s="371" t="n">
        <f aca="false">'1.3 Frota Total'!E76</f>
        <v>0</v>
      </c>
      <c r="G64" s="371" t="n">
        <f aca="false">'1.3 Frota Total'!F76</f>
        <v>0</v>
      </c>
      <c r="H64" s="371" t="n">
        <f aca="false">'1.3 Frota Total'!G76</f>
        <v>0</v>
      </c>
      <c r="I64" s="372" t="n">
        <f aca="false">'1.3 Frota Total'!H76</f>
        <v>0</v>
      </c>
      <c r="J64" s="427" t="n">
        <f aca="false">1-SUM('A.IX.a. Deprec. veículos'!G19:G22)*12</f>
        <v>1</v>
      </c>
    </row>
    <row r="65" customFormat="false" ht="15" hidden="true" customHeight="false" outlineLevel="0" collapsed="false">
      <c r="A65" s="376"/>
      <c r="B65" s="376"/>
      <c r="C65" s="376"/>
      <c r="D65" s="376"/>
      <c r="E65" s="370" t="n">
        <v>5</v>
      </c>
      <c r="F65" s="371" t="n">
        <f aca="false">'1.3 Frota Total'!E77</f>
        <v>0</v>
      </c>
      <c r="G65" s="371" t="n">
        <f aca="false">'1.3 Frota Total'!F77</f>
        <v>0</v>
      </c>
      <c r="H65" s="371" t="n">
        <f aca="false">'1.3 Frota Total'!G77</f>
        <v>0</v>
      </c>
      <c r="I65" s="372" t="n">
        <f aca="false">'1.3 Frota Total'!H77</f>
        <v>0</v>
      </c>
      <c r="J65" s="427" t="n">
        <f aca="false">1-SUM('A.IX.a. Deprec. veículos'!G19:G23)*12</f>
        <v>1</v>
      </c>
    </row>
    <row r="66" customFormat="false" ht="15" hidden="true" customHeight="false" outlineLevel="0" collapsed="false">
      <c r="A66" s="376"/>
      <c r="B66" s="376"/>
      <c r="C66" s="376"/>
      <c r="D66" s="376"/>
      <c r="E66" s="370" t="n">
        <v>6</v>
      </c>
      <c r="F66" s="371" t="n">
        <f aca="false">'1.3 Frota Total'!E78</f>
        <v>0</v>
      </c>
      <c r="G66" s="371" t="n">
        <f aca="false">'1.3 Frota Total'!F78</f>
        <v>0</v>
      </c>
      <c r="H66" s="371" t="n">
        <f aca="false">'1.3 Frota Total'!G78</f>
        <v>0</v>
      </c>
      <c r="I66" s="372" t="n">
        <f aca="false">'1.3 Frota Total'!H78</f>
        <v>0</v>
      </c>
      <c r="J66" s="427" t="n">
        <f aca="false">1-SUM('A.IX.a. Deprec. veículos'!G19:G24)*12</f>
        <v>1</v>
      </c>
    </row>
    <row r="67" customFormat="false" ht="15" hidden="true" customHeight="false" outlineLevel="0" collapsed="false">
      <c r="A67" s="376"/>
      <c r="B67" s="376"/>
      <c r="C67" s="376"/>
      <c r="D67" s="376"/>
      <c r="E67" s="370" t="n">
        <v>7</v>
      </c>
      <c r="F67" s="371" t="n">
        <f aca="false">'1.3 Frota Total'!E79</f>
        <v>0</v>
      </c>
      <c r="G67" s="371" t="n">
        <f aca="false">'1.3 Frota Total'!F79</f>
        <v>0</v>
      </c>
      <c r="H67" s="371" t="n">
        <f aca="false">'1.3 Frota Total'!G79</f>
        <v>0</v>
      </c>
      <c r="I67" s="372" t="n">
        <f aca="false">'1.3 Frota Total'!H79</f>
        <v>0</v>
      </c>
      <c r="J67" s="427" t="n">
        <f aca="false">1-SUM('A.IX.a. Deprec. veículos'!G19:G25)*12</f>
        <v>1</v>
      </c>
    </row>
    <row r="68" customFormat="false" ht="15" hidden="true" customHeight="false" outlineLevel="0" collapsed="false">
      <c r="A68" s="376"/>
      <c r="B68" s="376"/>
      <c r="C68" s="376"/>
      <c r="D68" s="376"/>
      <c r="E68" s="370" t="n">
        <v>8</v>
      </c>
      <c r="F68" s="371" t="n">
        <f aca="false">'1.3 Frota Total'!E80</f>
        <v>0</v>
      </c>
      <c r="G68" s="371" t="n">
        <f aca="false">'1.3 Frota Total'!F80</f>
        <v>0</v>
      </c>
      <c r="H68" s="371" t="n">
        <f aca="false">'1.3 Frota Total'!G80</f>
        <v>0</v>
      </c>
      <c r="I68" s="372" t="n">
        <f aca="false">'1.3 Frota Total'!H80</f>
        <v>0</v>
      </c>
      <c r="J68" s="427" t="n">
        <f aca="false">1-SUM('A.IX.a. Deprec. veículos'!G19:G26)*12</f>
        <v>1</v>
      </c>
    </row>
    <row r="69" customFormat="false" ht="15" hidden="true" customHeight="false" outlineLevel="0" collapsed="false">
      <c r="A69" s="376"/>
      <c r="B69" s="376"/>
      <c r="C69" s="376"/>
      <c r="D69" s="376"/>
      <c r="E69" s="370" t="n">
        <v>9</v>
      </c>
      <c r="F69" s="371" t="n">
        <f aca="false">'1.3 Frota Total'!E81</f>
        <v>0</v>
      </c>
      <c r="G69" s="371" t="n">
        <f aca="false">'1.3 Frota Total'!F81</f>
        <v>0</v>
      </c>
      <c r="H69" s="371" t="n">
        <f aca="false">'1.3 Frota Total'!G81</f>
        <v>0</v>
      </c>
      <c r="I69" s="372" t="n">
        <f aca="false">'1.3 Frota Total'!H81</f>
        <v>0</v>
      </c>
      <c r="J69" s="427" t="n">
        <f aca="false">1-SUM('A.IX.a. Deprec. veículos'!G19:G27)*12</f>
        <v>1</v>
      </c>
    </row>
    <row r="70" customFormat="false" ht="15" hidden="true" customHeight="false" outlineLevel="0" collapsed="false">
      <c r="A70" s="376"/>
      <c r="B70" s="376"/>
      <c r="C70" s="376"/>
      <c r="D70" s="376"/>
      <c r="E70" s="370" t="n">
        <v>10</v>
      </c>
      <c r="F70" s="371" t="n">
        <f aca="false">'1.3 Frota Total'!E82</f>
        <v>0</v>
      </c>
      <c r="G70" s="371" t="n">
        <f aca="false">'1.3 Frota Total'!F82</f>
        <v>0</v>
      </c>
      <c r="H70" s="371" t="n">
        <f aca="false">'1.3 Frota Total'!G82</f>
        <v>0</v>
      </c>
      <c r="I70" s="372" t="n">
        <f aca="false">'1.3 Frota Total'!H82</f>
        <v>0</v>
      </c>
      <c r="J70" s="427" t="n">
        <f aca="false">1-SUM('A.IX.a. Deprec. veículos'!G19:G28)*12</f>
        <v>1</v>
      </c>
    </row>
    <row r="71" customFormat="false" ht="15" hidden="true" customHeight="false" outlineLevel="0" collapsed="false">
      <c r="A71" s="376"/>
      <c r="B71" s="376"/>
      <c r="C71" s="376"/>
      <c r="D71" s="376"/>
      <c r="E71" s="370" t="n">
        <v>11</v>
      </c>
      <c r="F71" s="371" t="n">
        <f aca="false">'1.3 Frota Total'!E83</f>
        <v>0</v>
      </c>
      <c r="G71" s="371" t="n">
        <f aca="false">'1.3 Frota Total'!F83</f>
        <v>0</v>
      </c>
      <c r="H71" s="371" t="n">
        <f aca="false">'1.3 Frota Total'!G83</f>
        <v>0</v>
      </c>
      <c r="I71" s="372" t="n">
        <f aca="false">'1.3 Frota Total'!H83</f>
        <v>0</v>
      </c>
      <c r="J71" s="427" t="n">
        <f aca="false">1-SUM('A.IX.a. Deprec. veículos'!G19:G29)*12</f>
        <v>1</v>
      </c>
    </row>
    <row r="72" customFormat="false" ht="15.75" hidden="true" customHeight="false" outlineLevel="0" collapsed="false">
      <c r="A72" s="376"/>
      <c r="B72" s="376"/>
      <c r="C72" s="376"/>
      <c r="D72" s="376"/>
      <c r="E72" s="377" t="n">
        <v>12</v>
      </c>
      <c r="F72" s="378" t="n">
        <f aca="false">'1.3 Frota Total'!E84</f>
        <v>0</v>
      </c>
      <c r="G72" s="378" t="n">
        <f aca="false">'1.3 Frota Total'!F84</f>
        <v>0</v>
      </c>
      <c r="H72" s="378" t="n">
        <f aca="false">'1.3 Frota Total'!G84</f>
        <v>0</v>
      </c>
      <c r="I72" s="379" t="n">
        <f aca="false">'1.3 Frota Total'!H84</f>
        <v>0</v>
      </c>
      <c r="J72" s="437" t="n">
        <f aca="false">1-SUM('A.IX.a. Deprec. veículos'!G19:G30)*12</f>
        <v>1</v>
      </c>
    </row>
    <row r="73" customFormat="false" ht="15" hidden="true" customHeight="false" outlineLevel="0" collapsed="false">
      <c r="A73" s="438" t="s">
        <v>147</v>
      </c>
      <c r="B73" s="438"/>
      <c r="C73" s="438"/>
      <c r="D73" s="438"/>
      <c r="E73" s="367" t="n">
        <v>0</v>
      </c>
      <c r="F73" s="368" t="n">
        <f aca="false">'1.3 Frota Total'!E85</f>
        <v>0</v>
      </c>
      <c r="G73" s="368" t="n">
        <f aca="false">'1.3 Frota Total'!F85</f>
        <v>0</v>
      </c>
      <c r="H73" s="368" t="n">
        <f aca="false">'1.3 Frota Total'!G85</f>
        <v>0</v>
      </c>
      <c r="I73" s="424" t="n">
        <f aca="false">'1.3 Frota Total'!H85</f>
        <v>0</v>
      </c>
      <c r="J73" s="425" t="n">
        <v>1</v>
      </c>
    </row>
    <row r="74" customFormat="false" ht="15" hidden="true" customHeight="false" outlineLevel="0" collapsed="false">
      <c r="A74" s="438"/>
      <c r="B74" s="438"/>
      <c r="C74" s="438"/>
      <c r="D74" s="438"/>
      <c r="E74" s="370" t="n">
        <v>1</v>
      </c>
      <c r="F74" s="371" t="n">
        <f aca="false">'1.3 Frota Total'!E86</f>
        <v>0</v>
      </c>
      <c r="G74" s="371" t="n">
        <f aca="false">'1.3 Frota Total'!F86</f>
        <v>0</v>
      </c>
      <c r="H74" s="371" t="n">
        <f aca="false">'1.3 Frota Total'!G86</f>
        <v>0</v>
      </c>
      <c r="I74" s="426" t="n">
        <f aca="false">'1.3 Frota Total'!H86</f>
        <v>0</v>
      </c>
      <c r="J74" s="427" t="n">
        <f aca="false">1-'A.IX.a. Deprec. veículos'!G19*12</f>
        <v>1</v>
      </c>
    </row>
    <row r="75" customFormat="false" ht="15" hidden="true" customHeight="false" outlineLevel="0" collapsed="false">
      <c r="A75" s="438"/>
      <c r="B75" s="438"/>
      <c r="C75" s="438"/>
      <c r="D75" s="438"/>
      <c r="E75" s="370" t="n">
        <v>2</v>
      </c>
      <c r="F75" s="371" t="n">
        <f aca="false">'1.3 Frota Total'!E87</f>
        <v>0</v>
      </c>
      <c r="G75" s="371" t="n">
        <f aca="false">'1.3 Frota Total'!F87</f>
        <v>0</v>
      </c>
      <c r="H75" s="371" t="n">
        <f aca="false">'1.3 Frota Total'!G87</f>
        <v>0</v>
      </c>
      <c r="I75" s="426" t="n">
        <f aca="false">'1.3 Frota Total'!H87</f>
        <v>0</v>
      </c>
      <c r="J75" s="427" t="n">
        <f aca="false">1-SUM('A.IX.a. Deprec. veículos'!G19:G20)*12</f>
        <v>1</v>
      </c>
    </row>
    <row r="76" customFormat="false" ht="15" hidden="true" customHeight="false" outlineLevel="0" collapsed="false">
      <c r="A76" s="438"/>
      <c r="B76" s="438"/>
      <c r="C76" s="438"/>
      <c r="D76" s="438"/>
      <c r="E76" s="370" t="n">
        <v>3</v>
      </c>
      <c r="F76" s="371" t="n">
        <f aca="false">'1.3 Frota Total'!E88</f>
        <v>0</v>
      </c>
      <c r="G76" s="371" t="n">
        <f aca="false">'1.3 Frota Total'!F88</f>
        <v>0</v>
      </c>
      <c r="H76" s="371" t="n">
        <f aca="false">'1.3 Frota Total'!G88</f>
        <v>0</v>
      </c>
      <c r="I76" s="426" t="n">
        <f aca="false">'1.3 Frota Total'!H88</f>
        <v>0</v>
      </c>
      <c r="J76" s="427" t="n">
        <f aca="false">1-SUM('A.IX.a. Deprec. veículos'!G19:G21)*12</f>
        <v>1</v>
      </c>
    </row>
    <row r="77" customFormat="false" ht="15" hidden="true" customHeight="false" outlineLevel="0" collapsed="false">
      <c r="A77" s="438"/>
      <c r="B77" s="438"/>
      <c r="C77" s="438"/>
      <c r="D77" s="438"/>
      <c r="E77" s="370" t="n">
        <v>4</v>
      </c>
      <c r="F77" s="371" t="n">
        <f aca="false">'1.3 Frota Total'!E89</f>
        <v>0</v>
      </c>
      <c r="G77" s="371" t="n">
        <f aca="false">'1.3 Frota Total'!F89</f>
        <v>0</v>
      </c>
      <c r="H77" s="371" t="n">
        <f aca="false">'1.3 Frota Total'!G89</f>
        <v>0</v>
      </c>
      <c r="I77" s="426" t="n">
        <f aca="false">'1.3 Frota Total'!H89</f>
        <v>0</v>
      </c>
      <c r="J77" s="427" t="n">
        <f aca="false">1-SUM('A.IX.a. Deprec. veículos'!G19:G22)*12</f>
        <v>1</v>
      </c>
    </row>
    <row r="78" customFormat="false" ht="15" hidden="true" customHeight="false" outlineLevel="0" collapsed="false">
      <c r="A78" s="438"/>
      <c r="B78" s="438"/>
      <c r="C78" s="438"/>
      <c r="D78" s="438"/>
      <c r="E78" s="370" t="n">
        <v>5</v>
      </c>
      <c r="F78" s="371" t="n">
        <f aca="false">'1.3 Frota Total'!E90</f>
        <v>0</v>
      </c>
      <c r="G78" s="371" t="n">
        <f aca="false">'1.3 Frota Total'!F90</f>
        <v>0</v>
      </c>
      <c r="H78" s="371" t="n">
        <f aca="false">'1.3 Frota Total'!G90</f>
        <v>0</v>
      </c>
      <c r="I78" s="426" t="n">
        <f aca="false">'1.3 Frota Total'!H90</f>
        <v>0</v>
      </c>
      <c r="J78" s="427" t="n">
        <f aca="false">1-SUM('A.IX.a. Deprec. veículos'!G19:G23)*12</f>
        <v>1</v>
      </c>
    </row>
    <row r="79" customFormat="false" ht="15" hidden="true" customHeight="false" outlineLevel="0" collapsed="false">
      <c r="A79" s="438"/>
      <c r="B79" s="438"/>
      <c r="C79" s="438"/>
      <c r="D79" s="438"/>
      <c r="E79" s="370" t="n">
        <v>6</v>
      </c>
      <c r="F79" s="371" t="n">
        <f aca="false">'1.3 Frota Total'!E91</f>
        <v>0</v>
      </c>
      <c r="G79" s="371" t="n">
        <f aca="false">'1.3 Frota Total'!F91</f>
        <v>0</v>
      </c>
      <c r="H79" s="371" t="n">
        <f aca="false">'1.3 Frota Total'!G91</f>
        <v>0</v>
      </c>
      <c r="I79" s="426" t="n">
        <f aca="false">'1.3 Frota Total'!H91</f>
        <v>0</v>
      </c>
      <c r="J79" s="427" t="n">
        <f aca="false">1-SUM('A.IX.a. Deprec. veículos'!G19:G24)*12</f>
        <v>1</v>
      </c>
    </row>
    <row r="80" customFormat="false" ht="15" hidden="true" customHeight="false" outlineLevel="0" collapsed="false">
      <c r="A80" s="438"/>
      <c r="B80" s="438"/>
      <c r="C80" s="438"/>
      <c r="D80" s="438"/>
      <c r="E80" s="370" t="n">
        <v>7</v>
      </c>
      <c r="F80" s="371" t="n">
        <f aca="false">'1.3 Frota Total'!E92</f>
        <v>0</v>
      </c>
      <c r="G80" s="371" t="n">
        <f aca="false">'1.3 Frota Total'!F92</f>
        <v>0</v>
      </c>
      <c r="H80" s="371" t="n">
        <f aca="false">'1.3 Frota Total'!G92</f>
        <v>0</v>
      </c>
      <c r="I80" s="426" t="n">
        <f aca="false">'1.3 Frota Total'!H92</f>
        <v>0</v>
      </c>
      <c r="J80" s="427" t="n">
        <f aca="false">1-SUM('A.IX.a. Deprec. veículos'!G19:G25)*12</f>
        <v>1</v>
      </c>
    </row>
    <row r="81" customFormat="false" ht="15" hidden="true" customHeight="false" outlineLevel="0" collapsed="false">
      <c r="A81" s="438"/>
      <c r="B81" s="438"/>
      <c r="C81" s="438"/>
      <c r="D81" s="438"/>
      <c r="E81" s="370" t="n">
        <v>8</v>
      </c>
      <c r="F81" s="371" t="n">
        <f aca="false">'1.3 Frota Total'!E93</f>
        <v>0</v>
      </c>
      <c r="G81" s="371" t="n">
        <f aca="false">'1.3 Frota Total'!F93</f>
        <v>0</v>
      </c>
      <c r="H81" s="371" t="n">
        <f aca="false">'1.3 Frota Total'!G93</f>
        <v>0</v>
      </c>
      <c r="I81" s="426" t="n">
        <f aca="false">'1.3 Frota Total'!H93</f>
        <v>0</v>
      </c>
      <c r="J81" s="427" t="n">
        <f aca="false">1-SUM('A.IX.a. Deprec. veículos'!G19:G26)*12</f>
        <v>1</v>
      </c>
    </row>
    <row r="82" customFormat="false" ht="15" hidden="true" customHeight="false" outlineLevel="0" collapsed="false">
      <c r="A82" s="438"/>
      <c r="B82" s="438"/>
      <c r="C82" s="438"/>
      <c r="D82" s="438"/>
      <c r="E82" s="370" t="n">
        <v>9</v>
      </c>
      <c r="F82" s="371" t="n">
        <f aca="false">'1.3 Frota Total'!E94</f>
        <v>0</v>
      </c>
      <c r="G82" s="371" t="n">
        <f aca="false">'1.3 Frota Total'!F94</f>
        <v>0</v>
      </c>
      <c r="H82" s="371" t="n">
        <f aca="false">'1.3 Frota Total'!G94</f>
        <v>0</v>
      </c>
      <c r="I82" s="426" t="n">
        <f aca="false">'1.3 Frota Total'!H94</f>
        <v>0</v>
      </c>
      <c r="J82" s="427" t="n">
        <f aca="false">1-SUM('A.IX.a. Deprec. veículos'!G19:G27)*12</f>
        <v>1</v>
      </c>
    </row>
    <row r="83" customFormat="false" ht="15" hidden="true" customHeight="false" outlineLevel="0" collapsed="false">
      <c r="A83" s="438"/>
      <c r="B83" s="438"/>
      <c r="C83" s="438"/>
      <c r="D83" s="438"/>
      <c r="E83" s="370" t="n">
        <v>10</v>
      </c>
      <c r="F83" s="371" t="n">
        <f aca="false">'1.3 Frota Total'!E95</f>
        <v>0</v>
      </c>
      <c r="G83" s="371" t="n">
        <f aca="false">'1.3 Frota Total'!F95</f>
        <v>0</v>
      </c>
      <c r="H83" s="371" t="n">
        <f aca="false">'1.3 Frota Total'!G95</f>
        <v>0</v>
      </c>
      <c r="I83" s="426" t="n">
        <f aca="false">'1.3 Frota Total'!H95</f>
        <v>0</v>
      </c>
      <c r="J83" s="427" t="n">
        <f aca="false">1-SUM('A.IX.a. Deprec. veículos'!G19:G28)*12</f>
        <v>1</v>
      </c>
    </row>
    <row r="84" customFormat="false" ht="15" hidden="true" customHeight="false" outlineLevel="0" collapsed="false">
      <c r="A84" s="438"/>
      <c r="B84" s="438"/>
      <c r="C84" s="438"/>
      <c r="D84" s="438"/>
      <c r="E84" s="370" t="n">
        <v>11</v>
      </c>
      <c r="F84" s="371" t="n">
        <f aca="false">'1.3 Frota Total'!E96</f>
        <v>0</v>
      </c>
      <c r="G84" s="371" t="n">
        <f aca="false">'1.3 Frota Total'!F96</f>
        <v>0</v>
      </c>
      <c r="H84" s="371" t="n">
        <f aca="false">'1.3 Frota Total'!G96</f>
        <v>0</v>
      </c>
      <c r="I84" s="426" t="n">
        <f aca="false">'1.3 Frota Total'!H96</f>
        <v>0</v>
      </c>
      <c r="J84" s="427" t="n">
        <f aca="false">1-SUM('A.IX.a. Deprec. veículos'!G19:G29)*12</f>
        <v>1</v>
      </c>
    </row>
    <row r="85" customFormat="false" ht="15.75" hidden="true" customHeight="false" outlineLevel="0" collapsed="false">
      <c r="A85" s="438"/>
      <c r="B85" s="438"/>
      <c r="C85" s="438"/>
      <c r="D85" s="438"/>
      <c r="E85" s="373" t="n">
        <v>12</v>
      </c>
      <c r="F85" s="371" t="n">
        <f aca="false">'1.3 Frota Total'!E97</f>
        <v>0</v>
      </c>
      <c r="G85" s="371" t="n">
        <f aca="false">'1.3 Frota Total'!F97</f>
        <v>0</v>
      </c>
      <c r="H85" s="371" t="n">
        <f aca="false">'1.3 Frota Total'!G97</f>
        <v>0</v>
      </c>
      <c r="I85" s="426" t="n">
        <f aca="false">'1.3 Frota Total'!H97</f>
        <v>0</v>
      </c>
      <c r="J85" s="430" t="n">
        <f aca="false">1-SUM('A.IX.a. Deprec. veículos'!G19:G30)*12</f>
        <v>1</v>
      </c>
    </row>
    <row r="88" customFormat="false" ht="15" hidden="false" customHeight="false" outlineLevel="0" collapsed="false">
      <c r="A88" s="104" t="s">
        <v>686</v>
      </c>
      <c r="B88" s="48" t="s">
        <v>687</v>
      </c>
    </row>
    <row r="89" s="12" customFormat="true" ht="15" hidden="false" customHeight="false" outlineLevel="0" collapsed="false">
      <c r="A89" s="118" t="s">
        <v>153</v>
      </c>
      <c r="B89" s="118"/>
      <c r="C89" s="118"/>
      <c r="D89" s="118"/>
      <c r="E89" s="118" t="s">
        <v>161</v>
      </c>
      <c r="F89" s="118" t="s">
        <v>154</v>
      </c>
      <c r="G89" s="118"/>
      <c r="H89" s="118" t="s">
        <v>155</v>
      </c>
      <c r="I89" s="118"/>
    </row>
    <row r="90" s="12" customFormat="true" ht="15" hidden="false" customHeight="false" outlineLevel="0" collapsed="false">
      <c r="A90" s="118"/>
      <c r="B90" s="118"/>
      <c r="C90" s="118"/>
      <c r="D90" s="118"/>
      <c r="E90" s="118"/>
      <c r="F90" s="118" t="s">
        <v>156</v>
      </c>
      <c r="G90" s="118" t="s">
        <v>157</v>
      </c>
      <c r="H90" s="118" t="s">
        <v>156</v>
      </c>
      <c r="I90" s="118" t="s">
        <v>157</v>
      </c>
    </row>
    <row r="91" s="12" customFormat="true" ht="15" hidden="true" customHeight="false" outlineLevel="0" collapsed="false">
      <c r="A91" s="387" t="s">
        <v>162</v>
      </c>
      <c r="B91" s="387"/>
      <c r="C91" s="387"/>
      <c r="D91" s="387"/>
      <c r="E91" s="388" t="n">
        <v>0</v>
      </c>
      <c r="F91" s="439" t="n">
        <f aca="false">F19*$J19</f>
        <v>0</v>
      </c>
      <c r="G91" s="439" t="n">
        <f aca="false">G19*$J19</f>
        <v>0</v>
      </c>
      <c r="H91" s="439" t="n">
        <f aca="false">H19*$J19</f>
        <v>0</v>
      </c>
      <c r="I91" s="440" t="n">
        <f aca="false">I19*$J19</f>
        <v>0</v>
      </c>
    </row>
    <row r="92" s="12" customFormat="true" ht="15" hidden="true" customHeight="false" outlineLevel="0" collapsed="false">
      <c r="A92" s="387"/>
      <c r="B92" s="387"/>
      <c r="C92" s="387"/>
      <c r="D92" s="387"/>
      <c r="E92" s="391" t="n">
        <v>1</v>
      </c>
      <c r="F92" s="441" t="n">
        <f aca="false">F20*$J20</f>
        <v>0</v>
      </c>
      <c r="G92" s="441" t="n">
        <f aca="false">G20*$J20</f>
        <v>0</v>
      </c>
      <c r="H92" s="441" t="n">
        <f aca="false">H20*$J20</f>
        <v>0</v>
      </c>
      <c r="I92" s="442" t="n">
        <f aca="false">I20*$J20</f>
        <v>0</v>
      </c>
    </row>
    <row r="93" s="12" customFormat="true" ht="15" hidden="true" customHeight="false" outlineLevel="0" collapsed="false">
      <c r="A93" s="387"/>
      <c r="B93" s="387"/>
      <c r="C93" s="387"/>
      <c r="D93" s="387"/>
      <c r="E93" s="391" t="n">
        <v>2</v>
      </c>
      <c r="F93" s="441" t="n">
        <f aca="false">F21*$J21</f>
        <v>0</v>
      </c>
      <c r="G93" s="441" t="n">
        <f aca="false">G21*$J21</f>
        <v>0</v>
      </c>
      <c r="H93" s="441" t="n">
        <f aca="false">H21*$J21</f>
        <v>0</v>
      </c>
      <c r="I93" s="442" t="n">
        <f aca="false">I21*$J21</f>
        <v>0</v>
      </c>
    </row>
    <row r="94" s="12" customFormat="true" ht="15" hidden="true" customHeight="false" outlineLevel="0" collapsed="false">
      <c r="A94" s="387"/>
      <c r="B94" s="387"/>
      <c r="C94" s="387"/>
      <c r="D94" s="387"/>
      <c r="E94" s="391" t="n">
        <v>3</v>
      </c>
      <c r="F94" s="441" t="n">
        <f aca="false">F22*$J22</f>
        <v>0</v>
      </c>
      <c r="G94" s="441" t="n">
        <f aca="false">G22*$J22</f>
        <v>0</v>
      </c>
      <c r="H94" s="441" t="n">
        <f aca="false">H22*$J22</f>
        <v>0</v>
      </c>
      <c r="I94" s="442" t="n">
        <f aca="false">I22*$J22</f>
        <v>0</v>
      </c>
    </row>
    <row r="95" s="12" customFormat="true" ht="15" hidden="true" customHeight="false" outlineLevel="0" collapsed="false">
      <c r="A95" s="387"/>
      <c r="B95" s="387"/>
      <c r="C95" s="387"/>
      <c r="D95" s="387"/>
      <c r="E95" s="391" t="n">
        <v>4</v>
      </c>
      <c r="F95" s="441" t="n">
        <f aca="false">F23*$J23</f>
        <v>0</v>
      </c>
      <c r="G95" s="441" t="n">
        <f aca="false">G23*$J23</f>
        <v>0</v>
      </c>
      <c r="H95" s="441" t="n">
        <f aca="false">H23*$J23</f>
        <v>0</v>
      </c>
      <c r="I95" s="442" t="n">
        <f aca="false">I23*$J23</f>
        <v>0</v>
      </c>
    </row>
    <row r="96" s="12" customFormat="true" ht="15.75" hidden="true" customHeight="false" outlineLevel="0" collapsed="false">
      <c r="A96" s="387"/>
      <c r="B96" s="387"/>
      <c r="C96" s="387"/>
      <c r="D96" s="387"/>
      <c r="E96" s="394" t="n">
        <v>5</v>
      </c>
      <c r="F96" s="443" t="n">
        <f aca="false">F24*$J24</f>
        <v>0</v>
      </c>
      <c r="G96" s="443" t="n">
        <f aca="false">G24*$J24</f>
        <v>0</v>
      </c>
      <c r="H96" s="443" t="n">
        <f aca="false">H24*$J24</f>
        <v>0</v>
      </c>
      <c r="I96" s="444" t="n">
        <f aca="false">I24*$J24</f>
        <v>0</v>
      </c>
    </row>
    <row r="97" s="12" customFormat="true" ht="15" hidden="true" customHeight="false" outlineLevel="0" collapsed="false">
      <c r="A97" s="445" t="s">
        <v>129</v>
      </c>
      <c r="B97" s="445"/>
      <c r="C97" s="445"/>
      <c r="D97" s="445"/>
      <c r="E97" s="388" t="n">
        <v>0</v>
      </c>
      <c r="F97" s="439" t="n">
        <f aca="false">F25*$J25</f>
        <v>0</v>
      </c>
      <c r="G97" s="439" t="n">
        <f aca="false">G25*$J25</f>
        <v>0</v>
      </c>
      <c r="H97" s="439" t="n">
        <f aca="false">H25*$J25</f>
        <v>0</v>
      </c>
      <c r="I97" s="440" t="n">
        <f aca="false">I25*$J25</f>
        <v>0</v>
      </c>
    </row>
    <row r="98" s="12" customFormat="true" ht="15" hidden="true" customHeight="false" outlineLevel="0" collapsed="false">
      <c r="A98" s="445"/>
      <c r="B98" s="445"/>
      <c r="C98" s="445"/>
      <c r="D98" s="445"/>
      <c r="E98" s="391" t="n">
        <v>1</v>
      </c>
      <c r="F98" s="441" t="n">
        <f aca="false">F26*$J26</f>
        <v>0</v>
      </c>
      <c r="G98" s="441" t="n">
        <f aca="false">G26*$J26</f>
        <v>0</v>
      </c>
      <c r="H98" s="441" t="n">
        <f aca="false">H26*$J26</f>
        <v>0</v>
      </c>
      <c r="I98" s="442" t="n">
        <f aca="false">I26*$J26</f>
        <v>0</v>
      </c>
    </row>
    <row r="99" s="12" customFormat="true" ht="15" hidden="true" customHeight="false" outlineLevel="0" collapsed="false">
      <c r="A99" s="445"/>
      <c r="B99" s="445"/>
      <c r="C99" s="445"/>
      <c r="D99" s="445"/>
      <c r="E99" s="391" t="n">
        <v>2</v>
      </c>
      <c r="F99" s="441" t="n">
        <f aca="false">F27*$J27</f>
        <v>0</v>
      </c>
      <c r="G99" s="441" t="n">
        <f aca="false">G27*$J27</f>
        <v>0</v>
      </c>
      <c r="H99" s="441" t="n">
        <f aca="false">H27*$J27</f>
        <v>0</v>
      </c>
      <c r="I99" s="442" t="n">
        <f aca="false">I27*$J27</f>
        <v>0</v>
      </c>
    </row>
    <row r="100" s="12" customFormat="true" ht="15" hidden="true" customHeight="false" outlineLevel="0" collapsed="false">
      <c r="A100" s="445"/>
      <c r="B100" s="445"/>
      <c r="C100" s="445"/>
      <c r="D100" s="445"/>
      <c r="E100" s="391" t="n">
        <v>3</v>
      </c>
      <c r="F100" s="441" t="n">
        <f aca="false">F28*$J28</f>
        <v>0</v>
      </c>
      <c r="G100" s="441" t="n">
        <f aca="false">G28*$J28</f>
        <v>0</v>
      </c>
      <c r="H100" s="441" t="n">
        <f aca="false">H28*$J28</f>
        <v>0</v>
      </c>
      <c r="I100" s="442" t="n">
        <f aca="false">I28*$J28</f>
        <v>0</v>
      </c>
    </row>
    <row r="101" s="12" customFormat="true" ht="15" hidden="true" customHeight="false" outlineLevel="0" collapsed="false">
      <c r="A101" s="445"/>
      <c r="B101" s="445"/>
      <c r="C101" s="445"/>
      <c r="D101" s="445"/>
      <c r="E101" s="391" t="n">
        <v>4</v>
      </c>
      <c r="F101" s="441" t="n">
        <f aca="false">F29*$J29</f>
        <v>0</v>
      </c>
      <c r="G101" s="441" t="n">
        <f aca="false">G29*$J29</f>
        <v>0</v>
      </c>
      <c r="H101" s="441" t="n">
        <f aca="false">H29*$J29</f>
        <v>0</v>
      </c>
      <c r="I101" s="442" t="n">
        <f aca="false">I29*$J29</f>
        <v>0</v>
      </c>
    </row>
    <row r="102" s="12" customFormat="true" ht="15.75" hidden="true" customHeight="false" outlineLevel="0" collapsed="false">
      <c r="A102" s="445"/>
      <c r="B102" s="445"/>
      <c r="C102" s="445"/>
      <c r="D102" s="445"/>
      <c r="E102" s="446" t="n">
        <v>5</v>
      </c>
      <c r="F102" s="447" t="n">
        <f aca="false">F30*$J30</f>
        <v>0</v>
      </c>
      <c r="G102" s="447" t="n">
        <f aca="false">G30*$J30</f>
        <v>0</v>
      </c>
      <c r="H102" s="447" t="n">
        <f aca="false">H30*$J30</f>
        <v>0</v>
      </c>
      <c r="I102" s="448" t="n">
        <f aca="false">I30*$J30</f>
        <v>0</v>
      </c>
    </row>
    <row r="103" s="12" customFormat="true" ht="15" hidden="true" customHeight="false" outlineLevel="0" collapsed="false">
      <c r="A103" s="387" t="s">
        <v>133</v>
      </c>
      <c r="B103" s="387"/>
      <c r="C103" s="387"/>
      <c r="D103" s="387"/>
      <c r="E103" s="388" t="n">
        <v>0</v>
      </c>
      <c r="F103" s="439" t="n">
        <f aca="false">F31*$J31</f>
        <v>0</v>
      </c>
      <c r="G103" s="439" t="n">
        <f aca="false">G31*$J31</f>
        <v>0</v>
      </c>
      <c r="H103" s="439" t="n">
        <f aca="false">H31*$J31</f>
        <v>0</v>
      </c>
      <c r="I103" s="440" t="n">
        <f aca="false">I31*$J31</f>
        <v>0</v>
      </c>
    </row>
    <row r="104" s="12" customFormat="true" ht="15" hidden="true" customHeight="false" outlineLevel="0" collapsed="false">
      <c r="A104" s="387"/>
      <c r="B104" s="387"/>
      <c r="C104" s="387"/>
      <c r="D104" s="387"/>
      <c r="E104" s="391" t="n">
        <v>1</v>
      </c>
      <c r="F104" s="441" t="n">
        <f aca="false">F32*$J32</f>
        <v>0</v>
      </c>
      <c r="G104" s="441" t="n">
        <f aca="false">G32*$J32</f>
        <v>0</v>
      </c>
      <c r="H104" s="441" t="n">
        <f aca="false">H32*$J32</f>
        <v>0</v>
      </c>
      <c r="I104" s="442" t="n">
        <f aca="false">I32*$J32</f>
        <v>0</v>
      </c>
    </row>
    <row r="105" s="12" customFormat="true" ht="15" hidden="true" customHeight="false" outlineLevel="0" collapsed="false">
      <c r="A105" s="387"/>
      <c r="B105" s="387"/>
      <c r="C105" s="387"/>
      <c r="D105" s="387"/>
      <c r="E105" s="391" t="n">
        <v>2</v>
      </c>
      <c r="F105" s="441" t="n">
        <f aca="false">F33*$J33</f>
        <v>0</v>
      </c>
      <c r="G105" s="441" t="n">
        <f aca="false">G33*$J33</f>
        <v>0</v>
      </c>
      <c r="H105" s="441" t="n">
        <f aca="false">H33*$J33</f>
        <v>0</v>
      </c>
      <c r="I105" s="442" t="n">
        <f aca="false">I33*$J33</f>
        <v>0</v>
      </c>
    </row>
    <row r="106" s="12" customFormat="true" ht="15" hidden="true" customHeight="false" outlineLevel="0" collapsed="false">
      <c r="A106" s="387"/>
      <c r="B106" s="387"/>
      <c r="C106" s="387"/>
      <c r="D106" s="387"/>
      <c r="E106" s="391" t="n">
        <v>3</v>
      </c>
      <c r="F106" s="441" t="n">
        <f aca="false">F34*$J34</f>
        <v>0</v>
      </c>
      <c r="G106" s="441" t="n">
        <f aca="false">G34*$J34</f>
        <v>0</v>
      </c>
      <c r="H106" s="441" t="n">
        <f aca="false">H34*$J34</f>
        <v>0</v>
      </c>
      <c r="I106" s="442" t="n">
        <f aca="false">I34*$J34</f>
        <v>0</v>
      </c>
    </row>
    <row r="107" s="12" customFormat="true" ht="15" hidden="true" customHeight="false" outlineLevel="0" collapsed="false">
      <c r="A107" s="387"/>
      <c r="B107" s="387"/>
      <c r="C107" s="387"/>
      <c r="D107" s="387"/>
      <c r="E107" s="391" t="n">
        <v>4</v>
      </c>
      <c r="F107" s="441" t="n">
        <f aca="false">F35*$J35</f>
        <v>0</v>
      </c>
      <c r="G107" s="441" t="n">
        <f aca="false">G35*$J35</f>
        <v>0</v>
      </c>
      <c r="H107" s="441" t="n">
        <f aca="false">H35*$J35</f>
        <v>0</v>
      </c>
      <c r="I107" s="442" t="n">
        <f aca="false">I35*$J35</f>
        <v>0</v>
      </c>
    </row>
    <row r="108" s="12" customFormat="true" ht="15" hidden="true" customHeight="false" outlineLevel="0" collapsed="false">
      <c r="A108" s="387"/>
      <c r="B108" s="387"/>
      <c r="C108" s="387"/>
      <c r="D108" s="387"/>
      <c r="E108" s="391" t="n">
        <v>5</v>
      </c>
      <c r="F108" s="441" t="n">
        <f aca="false">F36*$J36</f>
        <v>0</v>
      </c>
      <c r="G108" s="441" t="n">
        <f aca="false">G36*$J36</f>
        <v>0</v>
      </c>
      <c r="H108" s="441" t="n">
        <f aca="false">H36*$J36</f>
        <v>0</v>
      </c>
      <c r="I108" s="442" t="n">
        <f aca="false">I36*$J36</f>
        <v>0</v>
      </c>
    </row>
    <row r="109" s="12" customFormat="true" ht="15" hidden="true" customHeight="false" outlineLevel="0" collapsed="false">
      <c r="A109" s="387"/>
      <c r="B109" s="387"/>
      <c r="C109" s="387"/>
      <c r="D109" s="387"/>
      <c r="E109" s="391" t="n">
        <v>6</v>
      </c>
      <c r="F109" s="441" t="n">
        <f aca="false">F37*$J37</f>
        <v>0</v>
      </c>
      <c r="G109" s="441" t="n">
        <f aca="false">G37*$J37</f>
        <v>0</v>
      </c>
      <c r="H109" s="441" t="n">
        <f aca="false">H37*$J37</f>
        <v>0</v>
      </c>
      <c r="I109" s="442" t="n">
        <f aca="false">I37*$J37</f>
        <v>0</v>
      </c>
    </row>
    <row r="110" s="12" customFormat="true" ht="15" hidden="true" customHeight="false" outlineLevel="0" collapsed="false">
      <c r="A110" s="387"/>
      <c r="B110" s="387"/>
      <c r="C110" s="387"/>
      <c r="D110" s="387"/>
      <c r="E110" s="391" t="n">
        <v>7</v>
      </c>
      <c r="F110" s="441" t="n">
        <f aca="false">F38*$J38</f>
        <v>0</v>
      </c>
      <c r="G110" s="441" t="n">
        <f aca="false">G38*$J38</f>
        <v>0</v>
      </c>
      <c r="H110" s="441" t="n">
        <f aca="false">H38*$J38</f>
        <v>0</v>
      </c>
      <c r="I110" s="442" t="n">
        <f aca="false">I38*$J38</f>
        <v>0</v>
      </c>
    </row>
    <row r="111" s="12" customFormat="true" ht="15.75" hidden="true" customHeight="false" outlineLevel="0" collapsed="false">
      <c r="A111" s="387"/>
      <c r="B111" s="387"/>
      <c r="C111" s="387"/>
      <c r="D111" s="387"/>
      <c r="E111" s="394" t="n">
        <v>8</v>
      </c>
      <c r="F111" s="443" t="n">
        <f aca="false">F39*$J39</f>
        <v>0</v>
      </c>
      <c r="G111" s="443" t="n">
        <f aca="false">G39*$J39</f>
        <v>0</v>
      </c>
      <c r="H111" s="443" t="n">
        <f aca="false">H39*$J39</f>
        <v>0</v>
      </c>
      <c r="I111" s="444" t="n">
        <f aca="false">I39*$J39</f>
        <v>0</v>
      </c>
    </row>
    <row r="112" s="12" customFormat="true" ht="15" hidden="false" customHeight="false" outlineLevel="0" collapsed="false">
      <c r="A112" s="449" t="s">
        <v>137</v>
      </c>
      <c r="B112" s="449"/>
      <c r="C112" s="449"/>
      <c r="D112" s="449"/>
      <c r="E112" s="405" t="n">
        <v>0</v>
      </c>
      <c r="F112" s="450" t="n">
        <f aca="false">F40*$J40</f>
        <v>0</v>
      </c>
      <c r="G112" s="450" t="n">
        <f aca="false">G40*$J40</f>
        <v>0</v>
      </c>
      <c r="H112" s="450" t="n">
        <f aca="false">H40*$J40</f>
        <v>0</v>
      </c>
      <c r="I112" s="451" t="n">
        <f aca="false">I40*$J40</f>
        <v>0</v>
      </c>
    </row>
    <row r="113" s="12" customFormat="true" ht="15" hidden="false" customHeight="false" outlineLevel="0" collapsed="false">
      <c r="A113" s="449"/>
      <c r="B113" s="449"/>
      <c r="C113" s="449"/>
      <c r="D113" s="449"/>
      <c r="E113" s="391" t="n">
        <v>1</v>
      </c>
      <c r="F113" s="441" t="n">
        <f aca="false">F41*$J41</f>
        <v>0</v>
      </c>
      <c r="G113" s="441" t="n">
        <f aca="false">G41*$J41</f>
        <v>0</v>
      </c>
      <c r="H113" s="441" t="n">
        <f aca="false">H41*$J41</f>
        <v>0</v>
      </c>
      <c r="I113" s="442" t="n">
        <f aca="false">I41*$J41</f>
        <v>0</v>
      </c>
    </row>
    <row r="114" s="12" customFormat="true" ht="15" hidden="false" customHeight="false" outlineLevel="0" collapsed="false">
      <c r="A114" s="449"/>
      <c r="B114" s="449"/>
      <c r="C114" s="449"/>
      <c r="D114" s="449"/>
      <c r="E114" s="391" t="n">
        <v>2</v>
      </c>
      <c r="F114" s="441" t="n">
        <f aca="false">F42*$J42</f>
        <v>0</v>
      </c>
      <c r="G114" s="441" t="n">
        <f aca="false">G42*$J42</f>
        <v>0</v>
      </c>
      <c r="H114" s="441" t="n">
        <f aca="false">H42*$J42</f>
        <v>0</v>
      </c>
      <c r="I114" s="442" t="n">
        <f aca="false">I42*$J42</f>
        <v>0</v>
      </c>
    </row>
    <row r="115" s="12" customFormat="true" ht="15" hidden="false" customHeight="false" outlineLevel="0" collapsed="false">
      <c r="A115" s="449"/>
      <c r="B115" s="449"/>
      <c r="C115" s="449"/>
      <c r="D115" s="449"/>
      <c r="E115" s="391" t="n">
        <v>3</v>
      </c>
      <c r="F115" s="441" t="n">
        <f aca="false">F43*$J43</f>
        <v>0</v>
      </c>
      <c r="G115" s="441" t="n">
        <f aca="false">G43*$J43</f>
        <v>0</v>
      </c>
      <c r="H115" s="441" t="n">
        <f aca="false">H43*$J43</f>
        <v>0</v>
      </c>
      <c r="I115" s="442" t="n">
        <f aca="false">I43*$J43</f>
        <v>0</v>
      </c>
    </row>
    <row r="116" s="12" customFormat="true" ht="15" hidden="false" customHeight="false" outlineLevel="0" collapsed="false">
      <c r="A116" s="449"/>
      <c r="B116" s="449"/>
      <c r="C116" s="449"/>
      <c r="D116" s="449"/>
      <c r="E116" s="391" t="n">
        <v>4</v>
      </c>
      <c r="F116" s="441" t="n">
        <f aca="false">F44*$J44</f>
        <v>0</v>
      </c>
      <c r="G116" s="441" t="n">
        <f aca="false">G44*$J44</f>
        <v>0</v>
      </c>
      <c r="H116" s="441" t="n">
        <f aca="false">H44*$J44</f>
        <v>0</v>
      </c>
      <c r="I116" s="442" t="n">
        <f aca="false">I44*$J44</f>
        <v>0</v>
      </c>
    </row>
    <row r="117" s="12" customFormat="true" ht="15" hidden="false" customHeight="false" outlineLevel="0" collapsed="false">
      <c r="A117" s="449"/>
      <c r="B117" s="449"/>
      <c r="C117" s="449"/>
      <c r="D117" s="449"/>
      <c r="E117" s="391" t="n">
        <v>5</v>
      </c>
      <c r="F117" s="441" t="n">
        <f aca="false">F45*$J45</f>
        <v>0.5</v>
      </c>
      <c r="G117" s="441" t="n">
        <f aca="false">G45*$J45</f>
        <v>0</v>
      </c>
      <c r="H117" s="441" t="n">
        <f aca="false">H45*$J45</f>
        <v>0</v>
      </c>
      <c r="I117" s="442" t="n">
        <f aca="false">I45*$J45</f>
        <v>0</v>
      </c>
    </row>
    <row r="118" s="12" customFormat="true" ht="15" hidden="false" customHeight="false" outlineLevel="0" collapsed="false">
      <c r="A118" s="449"/>
      <c r="B118" s="449"/>
      <c r="C118" s="449"/>
      <c r="D118" s="449"/>
      <c r="E118" s="391" t="n">
        <v>6</v>
      </c>
      <c r="F118" s="441" t="n">
        <f aca="false">F46*$J46</f>
        <v>0</v>
      </c>
      <c r="G118" s="441" t="n">
        <f aca="false">G46*$J46</f>
        <v>0</v>
      </c>
      <c r="H118" s="441" t="n">
        <f aca="false">H46*$J46</f>
        <v>0.35</v>
      </c>
      <c r="I118" s="442" t="n">
        <f aca="false">I46*$J46</f>
        <v>0</v>
      </c>
    </row>
    <row r="119" s="12" customFormat="true" ht="15" hidden="false" customHeight="false" outlineLevel="0" collapsed="false">
      <c r="A119" s="449"/>
      <c r="B119" s="449"/>
      <c r="C119" s="449"/>
      <c r="D119" s="449"/>
      <c r="E119" s="391" t="n">
        <v>7</v>
      </c>
      <c r="F119" s="441" t="n">
        <f aca="false">F47*$J47</f>
        <v>0</v>
      </c>
      <c r="G119" s="441" t="n">
        <f aca="false">G47*$J47</f>
        <v>0</v>
      </c>
      <c r="H119" s="441" t="n">
        <f aca="false">H47*$J47</f>
        <v>0</v>
      </c>
      <c r="I119" s="442" t="n">
        <f aca="false">I47*$J47</f>
        <v>0</v>
      </c>
    </row>
    <row r="120" s="12" customFormat="true" ht="15.75" hidden="false" customHeight="false" outlineLevel="0" collapsed="false">
      <c r="A120" s="449"/>
      <c r="B120" s="449"/>
      <c r="C120" s="449"/>
      <c r="D120" s="449"/>
      <c r="E120" s="394" t="n">
        <v>8</v>
      </c>
      <c r="F120" s="443" t="n">
        <f aca="false">F48*$J48</f>
        <v>1.2</v>
      </c>
      <c r="G120" s="443" t="n">
        <f aca="false">G48*$J48</f>
        <v>0</v>
      </c>
      <c r="H120" s="443" t="n">
        <f aca="false">H48*$J48</f>
        <v>0</v>
      </c>
      <c r="I120" s="444" t="n">
        <f aca="false">I48*$J48</f>
        <v>0</v>
      </c>
    </row>
    <row r="121" s="12" customFormat="true" ht="15" hidden="true" customHeight="false" outlineLevel="0" collapsed="false">
      <c r="A121" s="387" t="s">
        <v>141</v>
      </c>
      <c r="B121" s="387"/>
      <c r="C121" s="387"/>
      <c r="D121" s="387"/>
      <c r="E121" s="388" t="n">
        <v>0</v>
      </c>
      <c r="F121" s="439" t="n">
        <f aca="false">F49*$J49</f>
        <v>0</v>
      </c>
      <c r="G121" s="439" t="n">
        <f aca="false">G49*$J49</f>
        <v>0</v>
      </c>
      <c r="H121" s="439" t="n">
        <f aca="false">H49*$J49</f>
        <v>0</v>
      </c>
      <c r="I121" s="440" t="n">
        <f aca="false">I49*$J49</f>
        <v>0</v>
      </c>
    </row>
    <row r="122" s="12" customFormat="true" ht="15" hidden="true" customHeight="false" outlineLevel="0" collapsed="false">
      <c r="A122" s="387"/>
      <c r="B122" s="387"/>
      <c r="C122" s="387"/>
      <c r="D122" s="387"/>
      <c r="E122" s="391" t="n">
        <v>1</v>
      </c>
      <c r="F122" s="441" t="n">
        <f aca="false">F50*$J50</f>
        <v>0</v>
      </c>
      <c r="G122" s="441" t="n">
        <f aca="false">G50*$J50</f>
        <v>0</v>
      </c>
      <c r="H122" s="441" t="n">
        <f aca="false">H50*$J50</f>
        <v>0</v>
      </c>
      <c r="I122" s="442" t="n">
        <f aca="false">I50*$J50</f>
        <v>0</v>
      </c>
    </row>
    <row r="123" s="12" customFormat="true" ht="15" hidden="true" customHeight="false" outlineLevel="0" collapsed="false">
      <c r="A123" s="387"/>
      <c r="B123" s="387"/>
      <c r="C123" s="387"/>
      <c r="D123" s="387"/>
      <c r="E123" s="391" t="n">
        <v>2</v>
      </c>
      <c r="F123" s="441" t="n">
        <f aca="false">F51*$J51</f>
        <v>0</v>
      </c>
      <c r="G123" s="441" t="n">
        <f aca="false">G51*$J51</f>
        <v>0</v>
      </c>
      <c r="H123" s="441" t="n">
        <f aca="false">H51*$J51</f>
        <v>0</v>
      </c>
      <c r="I123" s="442" t="n">
        <f aca="false">I51*$J51</f>
        <v>0</v>
      </c>
    </row>
    <row r="124" s="12" customFormat="true" ht="15" hidden="true" customHeight="false" outlineLevel="0" collapsed="false">
      <c r="A124" s="387"/>
      <c r="B124" s="387"/>
      <c r="C124" s="387"/>
      <c r="D124" s="387"/>
      <c r="E124" s="391" t="n">
        <v>3</v>
      </c>
      <c r="F124" s="441" t="n">
        <f aca="false">F52*$J52</f>
        <v>0</v>
      </c>
      <c r="G124" s="441" t="n">
        <f aca="false">G52*$J52</f>
        <v>0</v>
      </c>
      <c r="H124" s="441" t="n">
        <f aca="false">H52*$J52</f>
        <v>0</v>
      </c>
      <c r="I124" s="442" t="n">
        <f aca="false">I52*$J52</f>
        <v>0</v>
      </c>
    </row>
    <row r="125" s="12" customFormat="true" ht="15" hidden="true" customHeight="false" outlineLevel="0" collapsed="false">
      <c r="A125" s="387"/>
      <c r="B125" s="387"/>
      <c r="C125" s="387"/>
      <c r="D125" s="387"/>
      <c r="E125" s="391" t="n">
        <v>4</v>
      </c>
      <c r="F125" s="441" t="n">
        <f aca="false">F53*$J53</f>
        <v>0</v>
      </c>
      <c r="G125" s="441" t="n">
        <f aca="false">G53*$J53</f>
        <v>0</v>
      </c>
      <c r="H125" s="441" t="n">
        <f aca="false">H53*$J53</f>
        <v>0</v>
      </c>
      <c r="I125" s="442" t="n">
        <f aca="false">I53*$J53</f>
        <v>0</v>
      </c>
    </row>
    <row r="126" s="12" customFormat="true" ht="15" hidden="true" customHeight="false" outlineLevel="0" collapsed="false">
      <c r="A126" s="387"/>
      <c r="B126" s="387"/>
      <c r="C126" s="387"/>
      <c r="D126" s="387"/>
      <c r="E126" s="391" t="n">
        <v>5</v>
      </c>
      <c r="F126" s="441" t="n">
        <f aca="false">F54*$J54</f>
        <v>0</v>
      </c>
      <c r="G126" s="441" t="n">
        <f aca="false">G54*$J54</f>
        <v>0</v>
      </c>
      <c r="H126" s="441" t="n">
        <f aca="false">H54*$J54</f>
        <v>0</v>
      </c>
      <c r="I126" s="442" t="n">
        <f aca="false">I54*$J54</f>
        <v>0</v>
      </c>
    </row>
    <row r="127" s="12" customFormat="true" ht="15" hidden="true" customHeight="false" outlineLevel="0" collapsed="false">
      <c r="A127" s="387"/>
      <c r="B127" s="387"/>
      <c r="C127" s="387"/>
      <c r="D127" s="387"/>
      <c r="E127" s="391" t="n">
        <v>6</v>
      </c>
      <c r="F127" s="441" t="n">
        <f aca="false">F55*$J55</f>
        <v>0</v>
      </c>
      <c r="G127" s="441" t="n">
        <f aca="false">G55*$J55</f>
        <v>0</v>
      </c>
      <c r="H127" s="441" t="n">
        <f aca="false">H55*$J55</f>
        <v>0</v>
      </c>
      <c r="I127" s="442" t="n">
        <f aca="false">I55*$J55</f>
        <v>0</v>
      </c>
    </row>
    <row r="128" s="12" customFormat="true" ht="15" hidden="true" customHeight="false" outlineLevel="0" collapsed="false">
      <c r="A128" s="387"/>
      <c r="B128" s="387"/>
      <c r="C128" s="387"/>
      <c r="D128" s="387"/>
      <c r="E128" s="391" t="n">
        <v>7</v>
      </c>
      <c r="F128" s="441" t="n">
        <f aca="false">F56*$J56</f>
        <v>0</v>
      </c>
      <c r="G128" s="441" t="n">
        <f aca="false">G56*$J56</f>
        <v>0</v>
      </c>
      <c r="H128" s="441" t="n">
        <f aca="false">H56*$J56</f>
        <v>0</v>
      </c>
      <c r="I128" s="442" t="n">
        <f aca="false">I56*$J56</f>
        <v>0</v>
      </c>
    </row>
    <row r="129" s="12" customFormat="true" ht="15" hidden="true" customHeight="false" outlineLevel="0" collapsed="false">
      <c r="A129" s="387"/>
      <c r="B129" s="387"/>
      <c r="C129" s="387"/>
      <c r="D129" s="387"/>
      <c r="E129" s="391" t="n">
        <v>8</v>
      </c>
      <c r="F129" s="441" t="n">
        <f aca="false">F57*$J57</f>
        <v>0</v>
      </c>
      <c r="G129" s="441" t="n">
        <f aca="false">G57*$J57</f>
        <v>0</v>
      </c>
      <c r="H129" s="441" t="n">
        <f aca="false">H57*$J57</f>
        <v>0</v>
      </c>
      <c r="I129" s="442" t="n">
        <f aca="false">I57*$J57</f>
        <v>0</v>
      </c>
    </row>
    <row r="130" s="12" customFormat="true" ht="15" hidden="true" customHeight="false" outlineLevel="0" collapsed="false">
      <c r="A130" s="387"/>
      <c r="B130" s="387"/>
      <c r="C130" s="387"/>
      <c r="D130" s="387"/>
      <c r="E130" s="391" t="n">
        <v>9</v>
      </c>
      <c r="F130" s="441" t="n">
        <f aca="false">F58*$J58</f>
        <v>0</v>
      </c>
      <c r="G130" s="441" t="n">
        <f aca="false">G58*$J58</f>
        <v>0</v>
      </c>
      <c r="H130" s="441" t="n">
        <f aca="false">H58*$J58</f>
        <v>0</v>
      </c>
      <c r="I130" s="442" t="n">
        <f aca="false">I58*$J58</f>
        <v>0</v>
      </c>
    </row>
    <row r="131" s="12" customFormat="true" ht="15.75" hidden="true" customHeight="false" outlineLevel="0" collapsed="false">
      <c r="A131" s="387"/>
      <c r="B131" s="387"/>
      <c r="C131" s="387"/>
      <c r="D131" s="387"/>
      <c r="E131" s="394" t="n">
        <v>10</v>
      </c>
      <c r="F131" s="443" t="n">
        <f aca="false">F59*$J59</f>
        <v>0</v>
      </c>
      <c r="G131" s="443" t="n">
        <f aca="false">G59*$J59</f>
        <v>0</v>
      </c>
      <c r="H131" s="443" t="n">
        <f aca="false">H59*$J59</f>
        <v>0</v>
      </c>
      <c r="I131" s="444" t="n">
        <f aca="false">I59*$J59</f>
        <v>0</v>
      </c>
    </row>
    <row r="132" s="12" customFormat="true" ht="15" hidden="true" customHeight="false" outlineLevel="0" collapsed="false">
      <c r="A132" s="387" t="s">
        <v>143</v>
      </c>
      <c r="B132" s="387"/>
      <c r="C132" s="387"/>
      <c r="D132" s="387"/>
      <c r="E132" s="388" t="n">
        <v>0</v>
      </c>
      <c r="F132" s="439" t="n">
        <f aca="false">F60*$J60</f>
        <v>0</v>
      </c>
      <c r="G132" s="439" t="n">
        <f aca="false">G60*$J60</f>
        <v>0</v>
      </c>
      <c r="H132" s="439" t="n">
        <f aca="false">H60*$J60</f>
        <v>0</v>
      </c>
      <c r="I132" s="440" t="n">
        <f aca="false">I60*$J60</f>
        <v>0</v>
      </c>
    </row>
    <row r="133" s="12" customFormat="true" ht="15" hidden="true" customHeight="false" outlineLevel="0" collapsed="false">
      <c r="A133" s="387"/>
      <c r="B133" s="387"/>
      <c r="C133" s="387"/>
      <c r="D133" s="387"/>
      <c r="E133" s="391" t="n">
        <v>1</v>
      </c>
      <c r="F133" s="441" t="n">
        <f aca="false">F61*$J61</f>
        <v>0</v>
      </c>
      <c r="G133" s="441" t="n">
        <f aca="false">G61*$J61</f>
        <v>0</v>
      </c>
      <c r="H133" s="441" t="n">
        <f aca="false">H61*$J61</f>
        <v>0</v>
      </c>
      <c r="I133" s="442" t="n">
        <f aca="false">I61*$J61</f>
        <v>0</v>
      </c>
    </row>
    <row r="134" s="12" customFormat="true" ht="15" hidden="true" customHeight="false" outlineLevel="0" collapsed="false">
      <c r="A134" s="387"/>
      <c r="B134" s="387"/>
      <c r="C134" s="387"/>
      <c r="D134" s="387"/>
      <c r="E134" s="391" t="n">
        <v>2</v>
      </c>
      <c r="F134" s="441" t="n">
        <f aca="false">F62*$J62</f>
        <v>0</v>
      </c>
      <c r="G134" s="441" t="n">
        <f aca="false">G62*$J62</f>
        <v>0</v>
      </c>
      <c r="H134" s="441" t="n">
        <f aca="false">H62*$J62</f>
        <v>0</v>
      </c>
      <c r="I134" s="442" t="n">
        <f aca="false">I62*$J62</f>
        <v>0</v>
      </c>
    </row>
    <row r="135" s="12" customFormat="true" ht="15" hidden="true" customHeight="false" outlineLevel="0" collapsed="false">
      <c r="A135" s="387"/>
      <c r="B135" s="387"/>
      <c r="C135" s="387"/>
      <c r="D135" s="387"/>
      <c r="E135" s="391" t="n">
        <v>3</v>
      </c>
      <c r="F135" s="441" t="n">
        <f aca="false">F63*$J63</f>
        <v>0</v>
      </c>
      <c r="G135" s="441" t="n">
        <f aca="false">G63*$J63</f>
        <v>0</v>
      </c>
      <c r="H135" s="441" t="n">
        <f aca="false">H63*$J63</f>
        <v>0</v>
      </c>
      <c r="I135" s="442" t="n">
        <f aca="false">I63*$J63</f>
        <v>0</v>
      </c>
    </row>
    <row r="136" s="12" customFormat="true" ht="15" hidden="true" customHeight="false" outlineLevel="0" collapsed="false">
      <c r="A136" s="387"/>
      <c r="B136" s="387"/>
      <c r="C136" s="387"/>
      <c r="D136" s="387"/>
      <c r="E136" s="391" t="n">
        <v>4</v>
      </c>
      <c r="F136" s="441" t="n">
        <f aca="false">F64*$J64</f>
        <v>0</v>
      </c>
      <c r="G136" s="441" t="n">
        <f aca="false">G64*$J64</f>
        <v>0</v>
      </c>
      <c r="H136" s="441" t="n">
        <f aca="false">H64*$J64</f>
        <v>0</v>
      </c>
      <c r="I136" s="442" t="n">
        <f aca="false">I64*$J64</f>
        <v>0</v>
      </c>
    </row>
    <row r="137" s="12" customFormat="true" ht="15" hidden="true" customHeight="false" outlineLevel="0" collapsed="false">
      <c r="A137" s="387"/>
      <c r="B137" s="387"/>
      <c r="C137" s="387"/>
      <c r="D137" s="387"/>
      <c r="E137" s="391" t="n">
        <v>5</v>
      </c>
      <c r="F137" s="441" t="n">
        <f aca="false">F65*$J65</f>
        <v>0</v>
      </c>
      <c r="G137" s="441" t="n">
        <f aca="false">G65*$J65</f>
        <v>0</v>
      </c>
      <c r="H137" s="441" t="n">
        <f aca="false">H65*$J65</f>
        <v>0</v>
      </c>
      <c r="I137" s="442" t="n">
        <f aca="false">I65*$J65</f>
        <v>0</v>
      </c>
    </row>
    <row r="138" s="12" customFormat="true" ht="15" hidden="true" customHeight="false" outlineLevel="0" collapsed="false">
      <c r="A138" s="387"/>
      <c r="B138" s="387"/>
      <c r="C138" s="387"/>
      <c r="D138" s="387"/>
      <c r="E138" s="391" t="n">
        <v>6</v>
      </c>
      <c r="F138" s="441" t="n">
        <f aca="false">F66*$J66</f>
        <v>0</v>
      </c>
      <c r="G138" s="441" t="n">
        <f aca="false">G66*$J66</f>
        <v>0</v>
      </c>
      <c r="H138" s="441" t="n">
        <f aca="false">H66*$J66</f>
        <v>0</v>
      </c>
      <c r="I138" s="442" t="n">
        <f aca="false">I66*$J66</f>
        <v>0</v>
      </c>
    </row>
    <row r="139" s="12" customFormat="true" ht="15" hidden="true" customHeight="false" outlineLevel="0" collapsed="false">
      <c r="A139" s="387"/>
      <c r="B139" s="387"/>
      <c r="C139" s="387"/>
      <c r="D139" s="387"/>
      <c r="E139" s="391" t="n">
        <v>7</v>
      </c>
      <c r="F139" s="441" t="n">
        <f aca="false">F67*$J67</f>
        <v>0</v>
      </c>
      <c r="G139" s="441" t="n">
        <f aca="false">G67*$J67</f>
        <v>0</v>
      </c>
      <c r="H139" s="441" t="n">
        <f aca="false">H67*$J67</f>
        <v>0</v>
      </c>
      <c r="I139" s="442" t="n">
        <f aca="false">I67*$J67</f>
        <v>0</v>
      </c>
    </row>
    <row r="140" s="12" customFormat="true" ht="15" hidden="true" customHeight="false" outlineLevel="0" collapsed="false">
      <c r="A140" s="387"/>
      <c r="B140" s="387"/>
      <c r="C140" s="387"/>
      <c r="D140" s="387"/>
      <c r="E140" s="391" t="n">
        <v>8</v>
      </c>
      <c r="F140" s="441" t="n">
        <f aca="false">F68*$J68</f>
        <v>0</v>
      </c>
      <c r="G140" s="441" t="n">
        <f aca="false">G68*$J68</f>
        <v>0</v>
      </c>
      <c r="H140" s="441" t="n">
        <f aca="false">H68*$J68</f>
        <v>0</v>
      </c>
      <c r="I140" s="442" t="n">
        <f aca="false">I68*$J68</f>
        <v>0</v>
      </c>
    </row>
    <row r="141" s="12" customFormat="true" ht="15" hidden="true" customHeight="false" outlineLevel="0" collapsed="false">
      <c r="A141" s="387"/>
      <c r="B141" s="387"/>
      <c r="C141" s="387"/>
      <c r="D141" s="387"/>
      <c r="E141" s="391" t="n">
        <v>9</v>
      </c>
      <c r="F141" s="441" t="n">
        <f aca="false">F69*$J69</f>
        <v>0</v>
      </c>
      <c r="G141" s="441" t="n">
        <f aca="false">G69*$J69</f>
        <v>0</v>
      </c>
      <c r="H141" s="441" t="n">
        <f aca="false">H69*$J69</f>
        <v>0</v>
      </c>
      <c r="I141" s="442" t="n">
        <f aca="false">I69*$J69</f>
        <v>0</v>
      </c>
    </row>
    <row r="142" s="12" customFormat="true" ht="15" hidden="true" customHeight="false" outlineLevel="0" collapsed="false">
      <c r="A142" s="387"/>
      <c r="B142" s="387"/>
      <c r="C142" s="387"/>
      <c r="D142" s="387"/>
      <c r="E142" s="391" t="n">
        <v>10</v>
      </c>
      <c r="F142" s="441" t="n">
        <f aca="false">F70*$J70</f>
        <v>0</v>
      </c>
      <c r="G142" s="441" t="n">
        <f aca="false">G70*$J70</f>
        <v>0</v>
      </c>
      <c r="H142" s="441" t="n">
        <f aca="false">H70*$J70</f>
        <v>0</v>
      </c>
      <c r="I142" s="442" t="n">
        <f aca="false">I70*$J70</f>
        <v>0</v>
      </c>
    </row>
    <row r="143" s="12" customFormat="true" ht="15" hidden="true" customHeight="false" outlineLevel="0" collapsed="false">
      <c r="A143" s="387"/>
      <c r="B143" s="387"/>
      <c r="C143" s="387"/>
      <c r="D143" s="387"/>
      <c r="E143" s="391" t="n">
        <v>11</v>
      </c>
      <c r="F143" s="441" t="n">
        <f aca="false">F71*$J71</f>
        <v>0</v>
      </c>
      <c r="G143" s="441" t="n">
        <f aca="false">G71*$J71</f>
        <v>0</v>
      </c>
      <c r="H143" s="441" t="n">
        <f aca="false">H71*$J71</f>
        <v>0</v>
      </c>
      <c r="I143" s="442" t="n">
        <f aca="false">I71*$J71</f>
        <v>0</v>
      </c>
    </row>
    <row r="144" s="12" customFormat="true" ht="15.75" hidden="true" customHeight="false" outlineLevel="0" collapsed="false">
      <c r="A144" s="387"/>
      <c r="B144" s="387"/>
      <c r="C144" s="387"/>
      <c r="D144" s="387"/>
      <c r="E144" s="394" t="n">
        <v>12</v>
      </c>
      <c r="F144" s="443" t="n">
        <f aca="false">F72*$J72</f>
        <v>0</v>
      </c>
      <c r="G144" s="443" t="n">
        <f aca="false">G72*$J72</f>
        <v>0</v>
      </c>
      <c r="H144" s="443" t="n">
        <f aca="false">H72*$J72</f>
        <v>0</v>
      </c>
      <c r="I144" s="444" t="n">
        <f aca="false">I72*$J72</f>
        <v>0</v>
      </c>
    </row>
    <row r="145" s="12" customFormat="true" ht="15" hidden="true" customHeight="false" outlineLevel="0" collapsed="false">
      <c r="A145" s="452" t="s">
        <v>147</v>
      </c>
      <c r="B145" s="452"/>
      <c r="C145" s="452"/>
      <c r="D145" s="452"/>
      <c r="E145" s="405" t="n">
        <v>0</v>
      </c>
      <c r="F145" s="450" t="n">
        <f aca="false">F73*$J73</f>
        <v>0</v>
      </c>
      <c r="G145" s="450" t="n">
        <f aca="false">G73*$J73</f>
        <v>0</v>
      </c>
      <c r="H145" s="450" t="n">
        <f aca="false">H73*$J73</f>
        <v>0</v>
      </c>
      <c r="I145" s="451" t="n">
        <f aca="false">I73*$J73</f>
        <v>0</v>
      </c>
    </row>
    <row r="146" s="12" customFormat="true" ht="15" hidden="true" customHeight="false" outlineLevel="0" collapsed="false">
      <c r="A146" s="452"/>
      <c r="B146" s="452"/>
      <c r="C146" s="452"/>
      <c r="D146" s="452"/>
      <c r="E146" s="391" t="n">
        <v>1</v>
      </c>
      <c r="F146" s="441" t="n">
        <f aca="false">F74*$J74</f>
        <v>0</v>
      </c>
      <c r="G146" s="441" t="n">
        <f aca="false">G74*$J74</f>
        <v>0</v>
      </c>
      <c r="H146" s="441" t="n">
        <f aca="false">H74*$J74</f>
        <v>0</v>
      </c>
      <c r="I146" s="442" t="n">
        <f aca="false">I74*$J74</f>
        <v>0</v>
      </c>
    </row>
    <row r="147" s="12" customFormat="true" ht="15" hidden="true" customHeight="false" outlineLevel="0" collapsed="false">
      <c r="A147" s="452"/>
      <c r="B147" s="452"/>
      <c r="C147" s="452"/>
      <c r="D147" s="452"/>
      <c r="E147" s="391" t="n">
        <v>2</v>
      </c>
      <c r="F147" s="441" t="n">
        <f aca="false">F75*$J75</f>
        <v>0</v>
      </c>
      <c r="G147" s="441" t="n">
        <f aca="false">G75*$J75</f>
        <v>0</v>
      </c>
      <c r="H147" s="441" t="n">
        <f aca="false">H75*$J75</f>
        <v>0</v>
      </c>
      <c r="I147" s="442" t="n">
        <f aca="false">I75*$J75</f>
        <v>0</v>
      </c>
    </row>
    <row r="148" s="12" customFormat="true" ht="15" hidden="true" customHeight="false" outlineLevel="0" collapsed="false">
      <c r="A148" s="452"/>
      <c r="B148" s="452"/>
      <c r="C148" s="452"/>
      <c r="D148" s="452"/>
      <c r="E148" s="391" t="n">
        <v>3</v>
      </c>
      <c r="F148" s="441" t="n">
        <f aca="false">F76*$J76</f>
        <v>0</v>
      </c>
      <c r="G148" s="441" t="n">
        <f aca="false">G76*$J76</f>
        <v>0</v>
      </c>
      <c r="H148" s="441" t="n">
        <f aca="false">H76*$J76</f>
        <v>0</v>
      </c>
      <c r="I148" s="442" t="n">
        <f aca="false">I76*$J76</f>
        <v>0</v>
      </c>
    </row>
    <row r="149" s="12" customFormat="true" ht="15" hidden="true" customHeight="false" outlineLevel="0" collapsed="false">
      <c r="A149" s="452"/>
      <c r="B149" s="452"/>
      <c r="C149" s="452"/>
      <c r="D149" s="452"/>
      <c r="E149" s="391" t="n">
        <v>4</v>
      </c>
      <c r="F149" s="441" t="n">
        <f aca="false">F77*$J77</f>
        <v>0</v>
      </c>
      <c r="G149" s="441" t="n">
        <f aca="false">G77*$J77</f>
        <v>0</v>
      </c>
      <c r="H149" s="441" t="n">
        <f aca="false">H77*$J77</f>
        <v>0</v>
      </c>
      <c r="I149" s="442" t="n">
        <f aca="false">I77*$J77</f>
        <v>0</v>
      </c>
    </row>
    <row r="150" s="12" customFormat="true" ht="15" hidden="true" customHeight="false" outlineLevel="0" collapsed="false">
      <c r="A150" s="452"/>
      <c r="B150" s="452"/>
      <c r="C150" s="452"/>
      <c r="D150" s="452"/>
      <c r="E150" s="391" t="n">
        <v>5</v>
      </c>
      <c r="F150" s="441" t="n">
        <f aca="false">F78*$J78</f>
        <v>0</v>
      </c>
      <c r="G150" s="441" t="n">
        <f aca="false">G78*$J78</f>
        <v>0</v>
      </c>
      <c r="H150" s="441" t="n">
        <f aca="false">H78*$J78</f>
        <v>0</v>
      </c>
      <c r="I150" s="442" t="n">
        <f aca="false">I78*$J78</f>
        <v>0</v>
      </c>
    </row>
    <row r="151" s="12" customFormat="true" ht="15" hidden="true" customHeight="false" outlineLevel="0" collapsed="false">
      <c r="A151" s="452"/>
      <c r="B151" s="452"/>
      <c r="C151" s="452"/>
      <c r="D151" s="452"/>
      <c r="E151" s="391" t="n">
        <v>6</v>
      </c>
      <c r="F151" s="441" t="n">
        <f aca="false">F79*$J79</f>
        <v>0</v>
      </c>
      <c r="G151" s="441" t="n">
        <f aca="false">G79*$J79</f>
        <v>0</v>
      </c>
      <c r="H151" s="441" t="n">
        <f aca="false">H79*$J79</f>
        <v>0</v>
      </c>
      <c r="I151" s="442" t="n">
        <f aca="false">I79*$J79</f>
        <v>0</v>
      </c>
    </row>
    <row r="152" s="12" customFormat="true" ht="15" hidden="true" customHeight="false" outlineLevel="0" collapsed="false">
      <c r="A152" s="452"/>
      <c r="B152" s="452"/>
      <c r="C152" s="452"/>
      <c r="D152" s="452"/>
      <c r="E152" s="391" t="n">
        <v>7</v>
      </c>
      <c r="F152" s="441" t="n">
        <f aca="false">F80*$J80</f>
        <v>0</v>
      </c>
      <c r="G152" s="441" t="n">
        <f aca="false">G80*$J80</f>
        <v>0</v>
      </c>
      <c r="H152" s="441" t="n">
        <f aca="false">H80*$J80</f>
        <v>0</v>
      </c>
      <c r="I152" s="442" t="n">
        <f aca="false">I80*$J80</f>
        <v>0</v>
      </c>
    </row>
    <row r="153" s="12" customFormat="true" ht="15" hidden="true" customHeight="false" outlineLevel="0" collapsed="false">
      <c r="A153" s="452"/>
      <c r="B153" s="452"/>
      <c r="C153" s="452"/>
      <c r="D153" s="452"/>
      <c r="E153" s="391" t="n">
        <v>8</v>
      </c>
      <c r="F153" s="441" t="n">
        <f aca="false">F81*$J81</f>
        <v>0</v>
      </c>
      <c r="G153" s="441" t="n">
        <f aca="false">G81*$J81</f>
        <v>0</v>
      </c>
      <c r="H153" s="441" t="n">
        <f aca="false">H81*$J81</f>
        <v>0</v>
      </c>
      <c r="I153" s="442" t="n">
        <f aca="false">I81*$J81</f>
        <v>0</v>
      </c>
    </row>
    <row r="154" s="12" customFormat="true" ht="15" hidden="true" customHeight="false" outlineLevel="0" collapsed="false">
      <c r="A154" s="452"/>
      <c r="B154" s="452"/>
      <c r="C154" s="452"/>
      <c r="D154" s="452"/>
      <c r="E154" s="391" t="n">
        <v>9</v>
      </c>
      <c r="F154" s="441" t="n">
        <f aca="false">F82*$J82</f>
        <v>0</v>
      </c>
      <c r="G154" s="441" t="n">
        <f aca="false">G82*$J82</f>
        <v>0</v>
      </c>
      <c r="H154" s="441" t="n">
        <f aca="false">H82*$J82</f>
        <v>0</v>
      </c>
      <c r="I154" s="442" t="n">
        <f aca="false">I82*$J82</f>
        <v>0</v>
      </c>
    </row>
    <row r="155" s="12" customFormat="true" ht="15" hidden="true" customHeight="false" outlineLevel="0" collapsed="false">
      <c r="A155" s="452"/>
      <c r="B155" s="452"/>
      <c r="C155" s="452"/>
      <c r="D155" s="452"/>
      <c r="E155" s="391" t="n">
        <v>10</v>
      </c>
      <c r="F155" s="441" t="n">
        <f aca="false">F83*$J83</f>
        <v>0</v>
      </c>
      <c r="G155" s="441" t="n">
        <f aca="false">G83*$J83</f>
        <v>0</v>
      </c>
      <c r="H155" s="441" t="n">
        <f aca="false">H83*$J83</f>
        <v>0</v>
      </c>
      <c r="I155" s="442" t="n">
        <f aca="false">I83*$J83</f>
        <v>0</v>
      </c>
    </row>
    <row r="156" s="12" customFormat="true" ht="15" hidden="true" customHeight="false" outlineLevel="0" collapsed="false">
      <c r="A156" s="452"/>
      <c r="B156" s="452"/>
      <c r="C156" s="452"/>
      <c r="D156" s="452"/>
      <c r="E156" s="391" t="n">
        <v>11</v>
      </c>
      <c r="F156" s="441" t="n">
        <f aca="false">F84*$J84</f>
        <v>0</v>
      </c>
      <c r="G156" s="441" t="n">
        <f aca="false">G84*$J84</f>
        <v>0</v>
      </c>
      <c r="H156" s="441" t="n">
        <f aca="false">H84*$J84</f>
        <v>0</v>
      </c>
      <c r="I156" s="442" t="n">
        <f aca="false">I84*$J84</f>
        <v>0</v>
      </c>
    </row>
    <row r="157" s="12" customFormat="true" ht="15.75" hidden="true" customHeight="false" outlineLevel="0" collapsed="false">
      <c r="A157" s="452"/>
      <c r="B157" s="452"/>
      <c r="C157" s="452"/>
      <c r="D157" s="452"/>
      <c r="E157" s="394" t="n">
        <v>12</v>
      </c>
      <c r="F157" s="443" t="n">
        <f aca="false">F85*$J85</f>
        <v>0</v>
      </c>
      <c r="G157" s="443" t="n">
        <f aca="false">G85*$J85</f>
        <v>0</v>
      </c>
      <c r="H157" s="443" t="n">
        <f aca="false">H85*$J85</f>
        <v>0</v>
      </c>
      <c r="I157" s="444" t="n">
        <f aca="false">I85*$J85</f>
        <v>0</v>
      </c>
    </row>
    <row r="159" customFormat="false" ht="15" hidden="false" customHeight="false" outlineLevel="0" collapsed="false">
      <c r="A159" s="104" t="s">
        <v>688</v>
      </c>
      <c r="B159" s="48" t="s">
        <v>687</v>
      </c>
    </row>
    <row r="160" customFormat="false" ht="15" hidden="false" customHeight="false" outlineLevel="0" collapsed="false">
      <c r="A160" s="118" t="s">
        <v>153</v>
      </c>
      <c r="B160" s="118"/>
      <c r="C160" s="118"/>
      <c r="D160" s="118"/>
      <c r="E160" s="118" t="s">
        <v>161</v>
      </c>
      <c r="F160" s="118" t="s">
        <v>154</v>
      </c>
      <c r="G160" s="118"/>
      <c r="H160" s="118" t="s">
        <v>155</v>
      </c>
      <c r="I160" s="118"/>
    </row>
    <row r="161" customFormat="false" ht="15" hidden="false" customHeight="false" outlineLevel="0" collapsed="false">
      <c r="A161" s="118"/>
      <c r="B161" s="118"/>
      <c r="C161" s="118"/>
      <c r="D161" s="118"/>
      <c r="E161" s="118"/>
      <c r="F161" s="384" t="s">
        <v>156</v>
      </c>
      <c r="G161" s="384" t="s">
        <v>157</v>
      </c>
      <c r="H161" s="384" t="s">
        <v>156</v>
      </c>
      <c r="I161" s="384" t="s">
        <v>157</v>
      </c>
    </row>
    <row r="162" customFormat="false" ht="15" hidden="true" customHeight="false" outlineLevel="0" collapsed="false">
      <c r="A162" s="387" t="s">
        <v>162</v>
      </c>
      <c r="B162" s="387"/>
      <c r="C162" s="387"/>
      <c r="D162" s="387"/>
      <c r="E162" s="453" t="n">
        <v>0</v>
      </c>
      <c r="F162" s="454" t="n">
        <f aca="false">SUM(F91:F96)*'2.1.b Veículos'!D6</f>
        <v>0</v>
      </c>
      <c r="G162" s="455" t="n">
        <f aca="false">SUM(G91:G96)*'2.1.b Veículos'!E6</f>
        <v>0</v>
      </c>
      <c r="H162" s="455" t="n">
        <f aca="false">SUM(H91:H96)*'2.1.b Veículos'!F6</f>
        <v>0</v>
      </c>
      <c r="I162" s="456" t="n">
        <f aca="false">SUM(I91:I96)*'2.1.b Veículos'!G6</f>
        <v>0</v>
      </c>
    </row>
    <row r="163" customFormat="false" ht="15" hidden="true" customHeight="false" outlineLevel="0" collapsed="false">
      <c r="A163" s="387"/>
      <c r="B163" s="387"/>
      <c r="C163" s="387"/>
      <c r="D163" s="387"/>
      <c r="E163" s="457" t="n">
        <v>1</v>
      </c>
      <c r="F163" s="454"/>
      <c r="G163" s="455"/>
      <c r="H163" s="455"/>
      <c r="I163" s="456"/>
    </row>
    <row r="164" customFormat="false" ht="15" hidden="true" customHeight="false" outlineLevel="0" collapsed="false">
      <c r="A164" s="387"/>
      <c r="B164" s="387"/>
      <c r="C164" s="387"/>
      <c r="D164" s="387"/>
      <c r="E164" s="457" t="n">
        <v>2</v>
      </c>
      <c r="F164" s="454"/>
      <c r="G164" s="455"/>
      <c r="H164" s="455"/>
      <c r="I164" s="456"/>
    </row>
    <row r="165" customFormat="false" ht="15" hidden="true" customHeight="false" outlineLevel="0" collapsed="false">
      <c r="A165" s="387"/>
      <c r="B165" s="387"/>
      <c r="C165" s="387"/>
      <c r="D165" s="387"/>
      <c r="E165" s="457" t="n">
        <v>3</v>
      </c>
      <c r="F165" s="454"/>
      <c r="G165" s="455"/>
      <c r="H165" s="455"/>
      <c r="I165" s="456"/>
    </row>
    <row r="166" customFormat="false" ht="15" hidden="true" customHeight="false" outlineLevel="0" collapsed="false">
      <c r="A166" s="387"/>
      <c r="B166" s="387"/>
      <c r="C166" s="387"/>
      <c r="D166" s="387"/>
      <c r="E166" s="457" t="n">
        <v>4</v>
      </c>
      <c r="F166" s="454"/>
      <c r="G166" s="455"/>
      <c r="H166" s="455"/>
      <c r="I166" s="456"/>
    </row>
    <row r="167" customFormat="false" ht="15.75" hidden="true" customHeight="false" outlineLevel="0" collapsed="false">
      <c r="A167" s="387"/>
      <c r="B167" s="387"/>
      <c r="C167" s="387"/>
      <c r="D167" s="387"/>
      <c r="E167" s="458" t="n">
        <v>5</v>
      </c>
      <c r="F167" s="454"/>
      <c r="G167" s="455"/>
      <c r="H167" s="455"/>
      <c r="I167" s="456"/>
    </row>
    <row r="168" customFormat="false" ht="15" hidden="true" customHeight="false" outlineLevel="0" collapsed="false">
      <c r="A168" s="445" t="s">
        <v>129</v>
      </c>
      <c r="B168" s="445"/>
      <c r="C168" s="445"/>
      <c r="D168" s="445"/>
      <c r="E168" s="453" t="n">
        <v>0</v>
      </c>
      <c r="F168" s="459" t="n">
        <f aca="false">SUM(F97:F102)*'2.1.b Veículos'!D7</f>
        <v>0</v>
      </c>
      <c r="G168" s="460" t="n">
        <f aca="false">SUM(G97:G102)*'2.1.b Veículos'!E7</f>
        <v>0</v>
      </c>
      <c r="H168" s="460" t="n">
        <f aca="false">SUM(H97:H102)*'2.1.b Veículos'!F7</f>
        <v>0</v>
      </c>
      <c r="I168" s="461" t="n">
        <f aca="false">SUM(I97:I102)*'2.1.b Veículos'!G7</f>
        <v>0</v>
      </c>
    </row>
    <row r="169" customFormat="false" ht="15" hidden="true" customHeight="false" outlineLevel="0" collapsed="false">
      <c r="A169" s="445"/>
      <c r="B169" s="445"/>
      <c r="C169" s="445"/>
      <c r="D169" s="445"/>
      <c r="E169" s="457" t="n">
        <v>1</v>
      </c>
      <c r="F169" s="459"/>
      <c r="G169" s="460"/>
      <c r="H169" s="460"/>
      <c r="I169" s="461"/>
    </row>
    <row r="170" customFormat="false" ht="15" hidden="true" customHeight="false" outlineLevel="0" collapsed="false">
      <c r="A170" s="445"/>
      <c r="B170" s="445"/>
      <c r="C170" s="445"/>
      <c r="D170" s="445"/>
      <c r="E170" s="457" t="n">
        <v>2</v>
      </c>
      <c r="F170" s="459"/>
      <c r="G170" s="460"/>
      <c r="H170" s="460"/>
      <c r="I170" s="461"/>
    </row>
    <row r="171" customFormat="false" ht="15" hidden="true" customHeight="false" outlineLevel="0" collapsed="false">
      <c r="A171" s="445"/>
      <c r="B171" s="445"/>
      <c r="C171" s="445"/>
      <c r="D171" s="445"/>
      <c r="E171" s="457" t="n">
        <v>3</v>
      </c>
      <c r="F171" s="459"/>
      <c r="G171" s="460"/>
      <c r="H171" s="460"/>
      <c r="I171" s="461"/>
    </row>
    <row r="172" customFormat="false" ht="15" hidden="true" customHeight="false" outlineLevel="0" collapsed="false">
      <c r="A172" s="445"/>
      <c r="B172" s="445"/>
      <c r="C172" s="445"/>
      <c r="D172" s="445"/>
      <c r="E172" s="457" t="n">
        <v>4</v>
      </c>
      <c r="F172" s="459"/>
      <c r="G172" s="460"/>
      <c r="H172" s="460"/>
      <c r="I172" s="461"/>
    </row>
    <row r="173" customFormat="false" ht="15.75" hidden="true" customHeight="false" outlineLevel="0" collapsed="false">
      <c r="A173" s="445"/>
      <c r="B173" s="445"/>
      <c r="C173" s="445"/>
      <c r="D173" s="445"/>
      <c r="E173" s="462" t="n">
        <v>5</v>
      </c>
      <c r="F173" s="459"/>
      <c r="G173" s="460"/>
      <c r="H173" s="460"/>
      <c r="I173" s="461"/>
    </row>
    <row r="174" customFormat="false" ht="15" hidden="true" customHeight="false" outlineLevel="0" collapsed="false">
      <c r="A174" s="387" t="s">
        <v>133</v>
      </c>
      <c r="B174" s="387"/>
      <c r="C174" s="387"/>
      <c r="D174" s="387"/>
      <c r="E174" s="388" t="n">
        <v>0</v>
      </c>
      <c r="F174" s="455" t="n">
        <f aca="false">SUM(F103:F111)*'2.1.b Veículos'!D8</f>
        <v>0</v>
      </c>
      <c r="G174" s="455" t="n">
        <f aca="false">SUM(G103:G111)*'2.1.b Veículos'!E8</f>
        <v>0</v>
      </c>
      <c r="H174" s="455" t="n">
        <f aca="false">SUM(H103:H111)*'2.1.b Veículos'!F8</f>
        <v>0</v>
      </c>
      <c r="I174" s="456" t="n">
        <f aca="false">SUM(I103:I111)*'2.1.b Veículos'!G8</f>
        <v>0</v>
      </c>
    </row>
    <row r="175" customFormat="false" ht="15" hidden="true" customHeight="false" outlineLevel="0" collapsed="false">
      <c r="A175" s="387"/>
      <c r="B175" s="387"/>
      <c r="C175" s="387"/>
      <c r="D175" s="387"/>
      <c r="E175" s="391" t="n">
        <v>1</v>
      </c>
      <c r="F175" s="455"/>
      <c r="G175" s="455"/>
      <c r="H175" s="455"/>
      <c r="I175" s="456"/>
    </row>
    <row r="176" customFormat="false" ht="15" hidden="true" customHeight="false" outlineLevel="0" collapsed="false">
      <c r="A176" s="387"/>
      <c r="B176" s="387"/>
      <c r="C176" s="387"/>
      <c r="D176" s="387"/>
      <c r="E176" s="391" t="n">
        <v>2</v>
      </c>
      <c r="F176" s="455"/>
      <c r="G176" s="455"/>
      <c r="H176" s="455"/>
      <c r="I176" s="456"/>
    </row>
    <row r="177" customFormat="false" ht="15" hidden="true" customHeight="false" outlineLevel="0" collapsed="false">
      <c r="A177" s="387"/>
      <c r="B177" s="387"/>
      <c r="C177" s="387"/>
      <c r="D177" s="387"/>
      <c r="E177" s="391" t="n">
        <v>3</v>
      </c>
      <c r="F177" s="455"/>
      <c r="G177" s="455"/>
      <c r="H177" s="455"/>
      <c r="I177" s="456"/>
    </row>
    <row r="178" customFormat="false" ht="15" hidden="true" customHeight="false" outlineLevel="0" collapsed="false">
      <c r="A178" s="387"/>
      <c r="B178" s="387"/>
      <c r="C178" s="387"/>
      <c r="D178" s="387"/>
      <c r="E178" s="391" t="n">
        <v>4</v>
      </c>
      <c r="F178" s="455"/>
      <c r="G178" s="455"/>
      <c r="H178" s="455"/>
      <c r="I178" s="456"/>
    </row>
    <row r="179" customFormat="false" ht="15" hidden="true" customHeight="false" outlineLevel="0" collapsed="false">
      <c r="A179" s="387"/>
      <c r="B179" s="387"/>
      <c r="C179" s="387"/>
      <c r="D179" s="387"/>
      <c r="E179" s="391" t="n">
        <v>5</v>
      </c>
      <c r="F179" s="455"/>
      <c r="G179" s="455"/>
      <c r="H179" s="455"/>
      <c r="I179" s="456"/>
    </row>
    <row r="180" customFormat="false" ht="15" hidden="true" customHeight="false" outlineLevel="0" collapsed="false">
      <c r="A180" s="387"/>
      <c r="B180" s="387"/>
      <c r="C180" s="387"/>
      <c r="D180" s="387"/>
      <c r="E180" s="391" t="n">
        <v>6</v>
      </c>
      <c r="F180" s="455"/>
      <c r="G180" s="455"/>
      <c r="H180" s="455"/>
      <c r="I180" s="456"/>
    </row>
    <row r="181" customFormat="false" ht="15" hidden="true" customHeight="false" outlineLevel="0" collapsed="false">
      <c r="A181" s="387"/>
      <c r="B181" s="387"/>
      <c r="C181" s="387"/>
      <c r="D181" s="387"/>
      <c r="E181" s="391" t="n">
        <v>7</v>
      </c>
      <c r="F181" s="455"/>
      <c r="G181" s="455"/>
      <c r="H181" s="455"/>
      <c r="I181" s="456"/>
    </row>
    <row r="182" customFormat="false" ht="15.75" hidden="true" customHeight="false" outlineLevel="0" collapsed="false">
      <c r="A182" s="387"/>
      <c r="B182" s="387"/>
      <c r="C182" s="387"/>
      <c r="D182" s="387"/>
      <c r="E182" s="394" t="n">
        <v>8</v>
      </c>
      <c r="F182" s="455"/>
      <c r="G182" s="455"/>
      <c r="H182" s="455"/>
      <c r="I182" s="456"/>
    </row>
    <row r="183" customFormat="false" ht="15" hidden="false" customHeight="false" outlineLevel="0" collapsed="false">
      <c r="A183" s="449" t="s">
        <v>137</v>
      </c>
      <c r="B183" s="449"/>
      <c r="C183" s="449"/>
      <c r="D183" s="449"/>
      <c r="E183" s="405" t="n">
        <v>0</v>
      </c>
      <c r="F183" s="463" t="n">
        <f aca="false">SUM(F112:F120)*'2.1.b Veículos'!D9</f>
        <v>1096500</v>
      </c>
      <c r="G183" s="463" t="n">
        <f aca="false">SUM(G112:G120)*'2.1.b Veículos'!E9</f>
        <v>0</v>
      </c>
      <c r="H183" s="463" t="n">
        <f aca="false">SUM(H112:H120)*'2.1.b Veículos'!F9</f>
        <v>261016</v>
      </c>
      <c r="I183" s="464" t="n">
        <f aca="false">SUM(I112:I120)*'2.1.b Veículos'!G9</f>
        <v>0</v>
      </c>
    </row>
    <row r="184" customFormat="false" ht="15" hidden="false" customHeight="false" outlineLevel="0" collapsed="false">
      <c r="A184" s="449"/>
      <c r="B184" s="449"/>
      <c r="C184" s="449"/>
      <c r="D184" s="449"/>
      <c r="E184" s="391" t="n">
        <v>1</v>
      </c>
      <c r="F184" s="463"/>
      <c r="G184" s="463"/>
      <c r="H184" s="463"/>
      <c r="I184" s="464"/>
    </row>
    <row r="185" customFormat="false" ht="15" hidden="false" customHeight="false" outlineLevel="0" collapsed="false">
      <c r="A185" s="449"/>
      <c r="B185" s="449"/>
      <c r="C185" s="449"/>
      <c r="D185" s="449"/>
      <c r="E185" s="391" t="n">
        <v>2</v>
      </c>
      <c r="F185" s="463"/>
      <c r="G185" s="463"/>
      <c r="H185" s="463"/>
      <c r="I185" s="464"/>
    </row>
    <row r="186" customFormat="false" ht="15" hidden="false" customHeight="false" outlineLevel="0" collapsed="false">
      <c r="A186" s="449"/>
      <c r="B186" s="449"/>
      <c r="C186" s="449"/>
      <c r="D186" s="449"/>
      <c r="E186" s="391" t="n">
        <v>3</v>
      </c>
      <c r="F186" s="463"/>
      <c r="G186" s="463"/>
      <c r="H186" s="463"/>
      <c r="I186" s="464"/>
    </row>
    <row r="187" customFormat="false" ht="15" hidden="false" customHeight="false" outlineLevel="0" collapsed="false">
      <c r="A187" s="449"/>
      <c r="B187" s="449"/>
      <c r="C187" s="449"/>
      <c r="D187" s="449"/>
      <c r="E187" s="391" t="n">
        <v>4</v>
      </c>
      <c r="F187" s="463"/>
      <c r="G187" s="463"/>
      <c r="H187" s="463"/>
      <c r="I187" s="464"/>
    </row>
    <row r="188" customFormat="false" ht="15" hidden="false" customHeight="false" outlineLevel="0" collapsed="false">
      <c r="A188" s="449"/>
      <c r="B188" s="449"/>
      <c r="C188" s="449"/>
      <c r="D188" s="449"/>
      <c r="E188" s="391" t="n">
        <v>5</v>
      </c>
      <c r="F188" s="463"/>
      <c r="G188" s="463"/>
      <c r="H188" s="463"/>
      <c r="I188" s="464"/>
    </row>
    <row r="189" customFormat="false" ht="15" hidden="false" customHeight="false" outlineLevel="0" collapsed="false">
      <c r="A189" s="449"/>
      <c r="B189" s="449"/>
      <c r="C189" s="449"/>
      <c r="D189" s="449"/>
      <c r="E189" s="391" t="n">
        <v>6</v>
      </c>
      <c r="F189" s="463"/>
      <c r="G189" s="463"/>
      <c r="H189" s="463"/>
      <c r="I189" s="464"/>
    </row>
    <row r="190" customFormat="false" ht="15" hidden="false" customHeight="false" outlineLevel="0" collapsed="false">
      <c r="A190" s="449"/>
      <c r="B190" s="449"/>
      <c r="C190" s="449"/>
      <c r="D190" s="449"/>
      <c r="E190" s="391" t="n">
        <v>7</v>
      </c>
      <c r="F190" s="463"/>
      <c r="G190" s="463"/>
      <c r="H190" s="463"/>
      <c r="I190" s="464"/>
    </row>
    <row r="191" customFormat="false" ht="15.75" hidden="false" customHeight="false" outlineLevel="0" collapsed="false">
      <c r="A191" s="449"/>
      <c r="B191" s="449"/>
      <c r="C191" s="449"/>
      <c r="D191" s="449"/>
      <c r="E191" s="394" t="n">
        <v>8</v>
      </c>
      <c r="F191" s="463"/>
      <c r="G191" s="463"/>
      <c r="H191" s="463"/>
      <c r="I191" s="464"/>
    </row>
    <row r="192" customFormat="false" ht="15" hidden="true" customHeight="false" outlineLevel="0" collapsed="false">
      <c r="A192" s="465" t="s">
        <v>141</v>
      </c>
      <c r="B192" s="465"/>
      <c r="C192" s="465"/>
      <c r="D192" s="465"/>
      <c r="E192" s="466" t="n">
        <v>0</v>
      </c>
      <c r="F192" s="467" t="n">
        <f aca="false">SUM(F121:F131)*'2.1.b Veículos'!D10</f>
        <v>0</v>
      </c>
      <c r="G192" s="468" t="n">
        <f aca="false">SUM(G121:G131)*'2.1.b Veículos'!E10</f>
        <v>0</v>
      </c>
      <c r="H192" s="468" t="n">
        <f aca="false">SUM(H121:H131)*'2.1.b Veículos'!F10</f>
        <v>0</v>
      </c>
      <c r="I192" s="469" t="n">
        <f aca="false">SUM(I121:I131)*'2.1.b Veículos'!G10</f>
        <v>0</v>
      </c>
    </row>
    <row r="193" customFormat="false" ht="15" hidden="true" customHeight="false" outlineLevel="0" collapsed="false">
      <c r="A193" s="465"/>
      <c r="B193" s="465"/>
      <c r="C193" s="465"/>
      <c r="D193" s="465"/>
      <c r="E193" s="457" t="n">
        <v>1</v>
      </c>
      <c r="F193" s="467"/>
      <c r="G193" s="468"/>
      <c r="H193" s="468"/>
      <c r="I193" s="469"/>
    </row>
    <row r="194" customFormat="false" ht="15" hidden="true" customHeight="false" outlineLevel="0" collapsed="false">
      <c r="A194" s="465"/>
      <c r="B194" s="465"/>
      <c r="C194" s="465"/>
      <c r="D194" s="465"/>
      <c r="E194" s="457" t="n">
        <v>2</v>
      </c>
      <c r="F194" s="467"/>
      <c r="G194" s="468"/>
      <c r="H194" s="468"/>
      <c r="I194" s="469"/>
    </row>
    <row r="195" customFormat="false" ht="15" hidden="true" customHeight="false" outlineLevel="0" collapsed="false">
      <c r="A195" s="465"/>
      <c r="B195" s="465"/>
      <c r="C195" s="465"/>
      <c r="D195" s="465"/>
      <c r="E195" s="457" t="n">
        <v>3</v>
      </c>
      <c r="F195" s="467"/>
      <c r="G195" s="468"/>
      <c r="H195" s="468"/>
      <c r="I195" s="469"/>
    </row>
    <row r="196" customFormat="false" ht="15" hidden="true" customHeight="false" outlineLevel="0" collapsed="false">
      <c r="A196" s="465"/>
      <c r="B196" s="465"/>
      <c r="C196" s="465"/>
      <c r="D196" s="465"/>
      <c r="E196" s="457" t="n">
        <v>4</v>
      </c>
      <c r="F196" s="467"/>
      <c r="G196" s="468"/>
      <c r="H196" s="468"/>
      <c r="I196" s="469"/>
    </row>
    <row r="197" customFormat="false" ht="15" hidden="true" customHeight="false" outlineLevel="0" collapsed="false">
      <c r="A197" s="465"/>
      <c r="B197" s="465"/>
      <c r="C197" s="465"/>
      <c r="D197" s="465"/>
      <c r="E197" s="457" t="n">
        <v>5</v>
      </c>
      <c r="F197" s="467"/>
      <c r="G197" s="468"/>
      <c r="H197" s="468"/>
      <c r="I197" s="469"/>
    </row>
    <row r="198" customFormat="false" ht="15" hidden="true" customHeight="false" outlineLevel="0" collapsed="false">
      <c r="A198" s="465"/>
      <c r="B198" s="465"/>
      <c r="C198" s="465"/>
      <c r="D198" s="465"/>
      <c r="E198" s="457" t="n">
        <v>6</v>
      </c>
      <c r="F198" s="467"/>
      <c r="G198" s="468"/>
      <c r="H198" s="468"/>
      <c r="I198" s="469"/>
    </row>
    <row r="199" customFormat="false" ht="15" hidden="true" customHeight="false" outlineLevel="0" collapsed="false">
      <c r="A199" s="465"/>
      <c r="B199" s="465"/>
      <c r="C199" s="465"/>
      <c r="D199" s="465"/>
      <c r="E199" s="457" t="n">
        <v>7</v>
      </c>
      <c r="F199" s="467"/>
      <c r="G199" s="468"/>
      <c r="H199" s="468"/>
      <c r="I199" s="469"/>
    </row>
    <row r="200" customFormat="false" ht="15" hidden="true" customHeight="false" outlineLevel="0" collapsed="false">
      <c r="A200" s="465"/>
      <c r="B200" s="465"/>
      <c r="C200" s="465"/>
      <c r="D200" s="465"/>
      <c r="E200" s="457" t="n">
        <v>8</v>
      </c>
      <c r="F200" s="467"/>
      <c r="G200" s="468"/>
      <c r="H200" s="468"/>
      <c r="I200" s="469"/>
    </row>
    <row r="201" customFormat="false" ht="15" hidden="true" customHeight="false" outlineLevel="0" collapsed="false">
      <c r="A201" s="465"/>
      <c r="B201" s="465"/>
      <c r="C201" s="465"/>
      <c r="D201" s="465"/>
      <c r="E201" s="457" t="n">
        <v>9</v>
      </c>
      <c r="F201" s="467"/>
      <c r="G201" s="468"/>
      <c r="H201" s="468"/>
      <c r="I201" s="469"/>
    </row>
    <row r="202" customFormat="false" ht="15.75" hidden="true" customHeight="false" outlineLevel="0" collapsed="false">
      <c r="A202" s="465"/>
      <c r="B202" s="465"/>
      <c r="C202" s="465"/>
      <c r="D202" s="465"/>
      <c r="E202" s="462" t="n">
        <v>10</v>
      </c>
      <c r="F202" s="467"/>
      <c r="G202" s="468"/>
      <c r="H202" s="468"/>
      <c r="I202" s="469"/>
    </row>
    <row r="203" customFormat="false" ht="15" hidden="true" customHeight="false" outlineLevel="0" collapsed="false">
      <c r="A203" s="387" t="s">
        <v>143</v>
      </c>
      <c r="B203" s="387"/>
      <c r="C203" s="387"/>
      <c r="D203" s="387"/>
      <c r="E203" s="388" t="n">
        <v>0</v>
      </c>
      <c r="F203" s="470" t="n">
        <f aca="false">SUM(F132:F144)*'2.1.b Veículos'!D11</f>
        <v>0</v>
      </c>
      <c r="G203" s="455" t="n">
        <f aca="false">SUM(G132:G144)*'2.1.b Veículos'!E11</f>
        <v>0</v>
      </c>
      <c r="H203" s="455" t="n">
        <f aca="false">SUM(H132:H144)*'2.1.b Veículos'!F11</f>
        <v>0</v>
      </c>
      <c r="I203" s="456" t="n">
        <f aca="false">SUM(I132:I144)*'2.1.b Veículos'!G11</f>
        <v>0</v>
      </c>
    </row>
    <row r="204" customFormat="false" ht="15" hidden="true" customHeight="false" outlineLevel="0" collapsed="false">
      <c r="A204" s="387"/>
      <c r="B204" s="387"/>
      <c r="C204" s="387"/>
      <c r="D204" s="387"/>
      <c r="E204" s="391" t="n">
        <v>1</v>
      </c>
      <c r="F204" s="470"/>
      <c r="G204" s="455"/>
      <c r="H204" s="455"/>
      <c r="I204" s="456"/>
    </row>
    <row r="205" customFormat="false" ht="15" hidden="true" customHeight="false" outlineLevel="0" collapsed="false">
      <c r="A205" s="387"/>
      <c r="B205" s="387"/>
      <c r="C205" s="387"/>
      <c r="D205" s="387"/>
      <c r="E205" s="391" t="n">
        <v>2</v>
      </c>
      <c r="F205" s="470"/>
      <c r="G205" s="455"/>
      <c r="H205" s="455"/>
      <c r="I205" s="456"/>
    </row>
    <row r="206" customFormat="false" ht="15" hidden="true" customHeight="false" outlineLevel="0" collapsed="false">
      <c r="A206" s="387"/>
      <c r="B206" s="387"/>
      <c r="C206" s="387"/>
      <c r="D206" s="387"/>
      <c r="E206" s="391" t="n">
        <v>3</v>
      </c>
      <c r="F206" s="470"/>
      <c r="G206" s="455"/>
      <c r="H206" s="455"/>
      <c r="I206" s="456"/>
    </row>
    <row r="207" customFormat="false" ht="15" hidden="true" customHeight="false" outlineLevel="0" collapsed="false">
      <c r="A207" s="387"/>
      <c r="B207" s="387"/>
      <c r="C207" s="387"/>
      <c r="D207" s="387"/>
      <c r="E207" s="391" t="n">
        <v>4</v>
      </c>
      <c r="F207" s="470"/>
      <c r="G207" s="455"/>
      <c r="H207" s="455"/>
      <c r="I207" s="456"/>
    </row>
    <row r="208" customFormat="false" ht="15" hidden="true" customHeight="false" outlineLevel="0" collapsed="false">
      <c r="A208" s="387"/>
      <c r="B208" s="387"/>
      <c r="C208" s="387"/>
      <c r="D208" s="387"/>
      <c r="E208" s="391" t="n">
        <v>5</v>
      </c>
      <c r="F208" s="470"/>
      <c r="G208" s="455"/>
      <c r="H208" s="455"/>
      <c r="I208" s="456"/>
    </row>
    <row r="209" customFormat="false" ht="15" hidden="true" customHeight="false" outlineLevel="0" collapsed="false">
      <c r="A209" s="387"/>
      <c r="B209" s="387"/>
      <c r="C209" s="387"/>
      <c r="D209" s="387"/>
      <c r="E209" s="391" t="n">
        <v>6</v>
      </c>
      <c r="F209" s="470"/>
      <c r="G209" s="455"/>
      <c r="H209" s="455"/>
      <c r="I209" s="456"/>
    </row>
    <row r="210" customFormat="false" ht="15" hidden="true" customHeight="false" outlineLevel="0" collapsed="false">
      <c r="A210" s="387"/>
      <c r="B210" s="387"/>
      <c r="C210" s="387"/>
      <c r="D210" s="387"/>
      <c r="E210" s="391" t="n">
        <v>7</v>
      </c>
      <c r="F210" s="470"/>
      <c r="G210" s="455"/>
      <c r="H210" s="455"/>
      <c r="I210" s="456"/>
    </row>
    <row r="211" customFormat="false" ht="15" hidden="true" customHeight="false" outlineLevel="0" collapsed="false">
      <c r="A211" s="387"/>
      <c r="B211" s="387"/>
      <c r="C211" s="387"/>
      <c r="D211" s="387"/>
      <c r="E211" s="391" t="n">
        <v>8</v>
      </c>
      <c r="F211" s="470"/>
      <c r="G211" s="455"/>
      <c r="H211" s="455"/>
      <c r="I211" s="456"/>
    </row>
    <row r="212" customFormat="false" ht="15" hidden="true" customHeight="false" outlineLevel="0" collapsed="false">
      <c r="A212" s="387"/>
      <c r="B212" s="387"/>
      <c r="C212" s="387"/>
      <c r="D212" s="387"/>
      <c r="E212" s="391" t="n">
        <v>9</v>
      </c>
      <c r="F212" s="470"/>
      <c r="G212" s="455"/>
      <c r="H212" s="455"/>
      <c r="I212" s="456"/>
    </row>
    <row r="213" customFormat="false" ht="15" hidden="true" customHeight="false" outlineLevel="0" collapsed="false">
      <c r="A213" s="387"/>
      <c r="B213" s="387"/>
      <c r="C213" s="387"/>
      <c r="D213" s="387"/>
      <c r="E213" s="391" t="n">
        <v>10</v>
      </c>
      <c r="F213" s="470"/>
      <c r="G213" s="455"/>
      <c r="H213" s="455"/>
      <c r="I213" s="456"/>
    </row>
    <row r="214" customFormat="false" ht="15" hidden="true" customHeight="false" outlineLevel="0" collapsed="false">
      <c r="A214" s="387"/>
      <c r="B214" s="387"/>
      <c r="C214" s="387"/>
      <c r="D214" s="387"/>
      <c r="E214" s="391" t="n">
        <v>11</v>
      </c>
      <c r="F214" s="470"/>
      <c r="G214" s="455"/>
      <c r="H214" s="455"/>
      <c r="I214" s="456"/>
    </row>
    <row r="215" customFormat="false" ht="15.75" hidden="true" customHeight="false" outlineLevel="0" collapsed="false">
      <c r="A215" s="387"/>
      <c r="B215" s="387"/>
      <c r="C215" s="387"/>
      <c r="D215" s="387"/>
      <c r="E215" s="394" t="n">
        <v>12</v>
      </c>
      <c r="F215" s="470"/>
      <c r="G215" s="455"/>
      <c r="H215" s="455"/>
      <c r="I215" s="456"/>
    </row>
    <row r="216" customFormat="false" ht="15" hidden="true" customHeight="false" outlineLevel="0" collapsed="false">
      <c r="A216" s="449" t="s">
        <v>147</v>
      </c>
      <c r="B216" s="449"/>
      <c r="C216" s="449"/>
      <c r="D216" s="449"/>
      <c r="E216" s="405" t="n">
        <v>0</v>
      </c>
      <c r="F216" s="463" t="n">
        <f aca="false">SUM(F145:F157)*'2.1.b Veículos'!D12</f>
        <v>0</v>
      </c>
      <c r="G216" s="463" t="n">
        <f aca="false">SUM(G145:G157)*'2.1.b Veículos'!E12</f>
        <v>0</v>
      </c>
      <c r="H216" s="463" t="n">
        <f aca="false">SUM(H145:H157)*'2.1.b Veículos'!F12</f>
        <v>0</v>
      </c>
      <c r="I216" s="464" t="n">
        <f aca="false">SUM(I145:I157)*'2.1.b Veículos'!G12</f>
        <v>0</v>
      </c>
    </row>
    <row r="217" customFormat="false" ht="15" hidden="true" customHeight="false" outlineLevel="0" collapsed="false">
      <c r="A217" s="449"/>
      <c r="B217" s="449"/>
      <c r="C217" s="449"/>
      <c r="D217" s="449"/>
      <c r="E217" s="391" t="n">
        <v>1</v>
      </c>
      <c r="F217" s="463"/>
      <c r="G217" s="463"/>
      <c r="H217" s="463"/>
      <c r="I217" s="464"/>
    </row>
    <row r="218" customFormat="false" ht="15" hidden="true" customHeight="false" outlineLevel="0" collapsed="false">
      <c r="A218" s="449"/>
      <c r="B218" s="449"/>
      <c r="C218" s="449"/>
      <c r="D218" s="449"/>
      <c r="E218" s="391" t="n">
        <v>2</v>
      </c>
      <c r="F218" s="463"/>
      <c r="G218" s="463"/>
      <c r="H218" s="463"/>
      <c r="I218" s="464"/>
    </row>
    <row r="219" customFormat="false" ht="15" hidden="true" customHeight="false" outlineLevel="0" collapsed="false">
      <c r="A219" s="449"/>
      <c r="B219" s="449"/>
      <c r="C219" s="449"/>
      <c r="D219" s="449"/>
      <c r="E219" s="391" t="n">
        <v>3</v>
      </c>
      <c r="F219" s="463"/>
      <c r="G219" s="463"/>
      <c r="H219" s="463"/>
      <c r="I219" s="464"/>
    </row>
    <row r="220" customFormat="false" ht="15" hidden="true" customHeight="false" outlineLevel="0" collapsed="false">
      <c r="A220" s="449"/>
      <c r="B220" s="449"/>
      <c r="C220" s="449"/>
      <c r="D220" s="449"/>
      <c r="E220" s="391" t="n">
        <v>4</v>
      </c>
      <c r="F220" s="463"/>
      <c r="G220" s="463"/>
      <c r="H220" s="463"/>
      <c r="I220" s="464"/>
    </row>
    <row r="221" customFormat="false" ht="15" hidden="true" customHeight="false" outlineLevel="0" collapsed="false">
      <c r="A221" s="449"/>
      <c r="B221" s="449"/>
      <c r="C221" s="449"/>
      <c r="D221" s="449"/>
      <c r="E221" s="391" t="n">
        <v>5</v>
      </c>
      <c r="F221" s="463"/>
      <c r="G221" s="463"/>
      <c r="H221" s="463"/>
      <c r="I221" s="464"/>
    </row>
    <row r="222" customFormat="false" ht="15" hidden="true" customHeight="false" outlineLevel="0" collapsed="false">
      <c r="A222" s="449"/>
      <c r="B222" s="449"/>
      <c r="C222" s="449"/>
      <c r="D222" s="449"/>
      <c r="E222" s="391" t="n">
        <v>6</v>
      </c>
      <c r="F222" s="463"/>
      <c r="G222" s="463"/>
      <c r="H222" s="463"/>
      <c r="I222" s="464"/>
    </row>
    <row r="223" customFormat="false" ht="15" hidden="true" customHeight="false" outlineLevel="0" collapsed="false">
      <c r="A223" s="449"/>
      <c r="B223" s="449"/>
      <c r="C223" s="449"/>
      <c r="D223" s="449"/>
      <c r="E223" s="391" t="n">
        <v>7</v>
      </c>
      <c r="F223" s="463"/>
      <c r="G223" s="463"/>
      <c r="H223" s="463"/>
      <c r="I223" s="464"/>
    </row>
    <row r="224" customFormat="false" ht="15" hidden="true" customHeight="false" outlineLevel="0" collapsed="false">
      <c r="A224" s="449"/>
      <c r="B224" s="449"/>
      <c r="C224" s="449"/>
      <c r="D224" s="449"/>
      <c r="E224" s="391" t="n">
        <v>8</v>
      </c>
      <c r="F224" s="463"/>
      <c r="G224" s="463"/>
      <c r="H224" s="463"/>
      <c r="I224" s="464"/>
    </row>
    <row r="225" customFormat="false" ht="15" hidden="true" customHeight="false" outlineLevel="0" collapsed="false">
      <c r="A225" s="449"/>
      <c r="B225" s="449"/>
      <c r="C225" s="449"/>
      <c r="D225" s="449"/>
      <c r="E225" s="391" t="n">
        <v>9</v>
      </c>
      <c r="F225" s="463"/>
      <c r="G225" s="463"/>
      <c r="H225" s="463"/>
      <c r="I225" s="464"/>
    </row>
    <row r="226" customFormat="false" ht="15" hidden="true" customHeight="false" outlineLevel="0" collapsed="false">
      <c r="A226" s="449"/>
      <c r="B226" s="449"/>
      <c r="C226" s="449"/>
      <c r="D226" s="449"/>
      <c r="E226" s="391" t="n">
        <v>10</v>
      </c>
      <c r="F226" s="463"/>
      <c r="G226" s="463"/>
      <c r="H226" s="463"/>
      <c r="I226" s="464"/>
    </row>
    <row r="227" customFormat="false" ht="15" hidden="true" customHeight="false" outlineLevel="0" collapsed="false">
      <c r="A227" s="449"/>
      <c r="B227" s="449"/>
      <c r="C227" s="449"/>
      <c r="D227" s="449"/>
      <c r="E227" s="391" t="n">
        <v>11</v>
      </c>
      <c r="F227" s="463"/>
      <c r="G227" s="463"/>
      <c r="H227" s="463"/>
      <c r="I227" s="464"/>
    </row>
    <row r="228" customFormat="false" ht="15.75" hidden="true" customHeight="false" outlineLevel="0" collapsed="false">
      <c r="A228" s="449"/>
      <c r="B228" s="449"/>
      <c r="C228" s="449"/>
      <c r="D228" s="449"/>
      <c r="E228" s="394" t="n">
        <v>12</v>
      </c>
      <c r="F228" s="463"/>
      <c r="G228" s="463"/>
      <c r="H228" s="463"/>
      <c r="I228" s="464"/>
    </row>
    <row r="230" customFormat="false" ht="15" hidden="false" customHeight="false" outlineLevel="0" collapsed="false">
      <c r="A230" s="104" t="s">
        <v>689</v>
      </c>
      <c r="B230" s="48" t="s">
        <v>690</v>
      </c>
    </row>
    <row r="231" customFormat="false" ht="21" hidden="false" customHeight="false" outlineLevel="0" collapsed="false">
      <c r="A231" s="409" t="s">
        <v>691</v>
      </c>
      <c r="B231" s="409"/>
      <c r="C231" s="409"/>
      <c r="D231" s="409"/>
      <c r="E231" s="409"/>
      <c r="F231" s="409"/>
      <c r="G231" s="135" t="n">
        <f aca="false">SUM(F162:I226)*('2.1.c Insumos'!F68/100)/12</f>
        <v>888.041716666666</v>
      </c>
    </row>
  </sheetData>
  <mergeCells count="74">
    <mergeCell ref="A6:D7"/>
    <mergeCell ref="E6:E7"/>
    <mergeCell ref="F6:F7"/>
    <mergeCell ref="L6:O6"/>
    <mergeCell ref="A8:D8"/>
    <mergeCell ref="A9:D9"/>
    <mergeCell ref="A10:D10"/>
    <mergeCell ref="A11:D11"/>
    <mergeCell ref="A12:D12"/>
    <mergeCell ref="A13:D13"/>
    <mergeCell ref="A14:D14"/>
    <mergeCell ref="A17:D18"/>
    <mergeCell ref="E17:E18"/>
    <mergeCell ref="F17:G17"/>
    <mergeCell ref="H17:I17"/>
    <mergeCell ref="J17:J18"/>
    <mergeCell ref="A19:D24"/>
    <mergeCell ref="A25:D30"/>
    <mergeCell ref="A31:D39"/>
    <mergeCell ref="A40:D48"/>
    <mergeCell ref="A49:D59"/>
    <mergeCell ref="A60:D72"/>
    <mergeCell ref="A73:D85"/>
    <mergeCell ref="A89:D90"/>
    <mergeCell ref="E89:E90"/>
    <mergeCell ref="F89:G89"/>
    <mergeCell ref="H89:I89"/>
    <mergeCell ref="A91:D96"/>
    <mergeCell ref="A97:D102"/>
    <mergeCell ref="A103:D111"/>
    <mergeCell ref="A112:D120"/>
    <mergeCell ref="A121:D131"/>
    <mergeCell ref="A132:D144"/>
    <mergeCell ref="A145:D157"/>
    <mergeCell ref="A160:D161"/>
    <mergeCell ref="E160:E161"/>
    <mergeCell ref="F160:G160"/>
    <mergeCell ref="H160:I160"/>
    <mergeCell ref="A162:D167"/>
    <mergeCell ref="F162:F167"/>
    <mergeCell ref="G162:G167"/>
    <mergeCell ref="H162:H167"/>
    <mergeCell ref="I162:I167"/>
    <mergeCell ref="A168:D173"/>
    <mergeCell ref="F168:F173"/>
    <mergeCell ref="G168:G173"/>
    <mergeCell ref="H168:H173"/>
    <mergeCell ref="I168:I173"/>
    <mergeCell ref="A174:D182"/>
    <mergeCell ref="F174:F182"/>
    <mergeCell ref="G174:G182"/>
    <mergeCell ref="H174:H182"/>
    <mergeCell ref="I174:I182"/>
    <mergeCell ref="A183:D191"/>
    <mergeCell ref="F183:F191"/>
    <mergeCell ref="G183:G191"/>
    <mergeCell ref="H183:H191"/>
    <mergeCell ref="I183:I191"/>
    <mergeCell ref="A192:D202"/>
    <mergeCell ref="F192:F202"/>
    <mergeCell ref="G192:G202"/>
    <mergeCell ref="H192:H202"/>
    <mergeCell ref="I192:I202"/>
    <mergeCell ref="A203:D215"/>
    <mergeCell ref="F203:F215"/>
    <mergeCell ref="G203:G215"/>
    <mergeCell ref="H203:H215"/>
    <mergeCell ref="I203:I215"/>
    <mergeCell ref="A216:D228"/>
    <mergeCell ref="F216:F228"/>
    <mergeCell ref="G216:G228"/>
    <mergeCell ref="H216:H228"/>
    <mergeCell ref="I216:I228"/>
    <mergeCell ref="A231:F231"/>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L20"/>
  <sheetViews>
    <sheetView showFormulas="false" showGridLines="true" showRowColHeaders="true" showZeros="true" rightToLeft="false" tabSelected="false" showOutlineSymbols="true" defaultGridColor="true" view="normal" topLeftCell="A16" colorId="64" zoomScale="100" zoomScaleNormal="100" zoomScalePageLayoutView="100" workbookViewId="0">
      <selection pane="topLeft" activeCell="D20" activeCellId="0" sqref="D20"/>
    </sheetView>
  </sheetViews>
  <sheetFormatPr defaultColWidth="8.6875" defaultRowHeight="12.75" zeroHeight="false" outlineLevelRow="0" outlineLevelCol="0"/>
  <cols>
    <col collapsed="false" customWidth="true" hidden="false" outlineLevel="0" max="3" min="1" style="0" width="9.14"/>
    <col collapsed="false" customWidth="true" hidden="false" outlineLevel="0" max="4" min="4" style="0" width="15.42"/>
    <col collapsed="false" customWidth="true" hidden="false" outlineLevel="0" max="5" min="5" style="0" width="14.15"/>
    <col collapsed="false" customWidth="true" hidden="false" outlineLevel="0" max="6" min="6" style="0" width="15.42"/>
    <col collapsed="false" customWidth="true" hidden="false" outlineLevel="0" max="7" min="7" style="0" width="28.71"/>
  </cols>
  <sheetData>
    <row r="1" customFormat="false" ht="15" hidden="false" customHeight="false" outlineLevel="0" collapsed="false">
      <c r="A1" s="36" t="s">
        <v>680</v>
      </c>
      <c r="E1" s="12"/>
      <c r="F1" s="12"/>
      <c r="G1" s="12"/>
      <c r="H1" s="12"/>
      <c r="I1" s="12"/>
      <c r="J1" s="12"/>
      <c r="K1" s="12"/>
    </row>
    <row r="2" customFormat="false" ht="15.75" hidden="false" customHeight="false" outlineLevel="0" collapsed="false">
      <c r="A2" s="48"/>
      <c r="B2" s="48"/>
      <c r="C2" s="12"/>
      <c r="D2" s="12"/>
      <c r="E2" s="12"/>
      <c r="F2" s="12"/>
      <c r="G2" s="12"/>
      <c r="H2" s="12"/>
      <c r="I2" s="12"/>
      <c r="J2" s="12"/>
      <c r="K2" s="12"/>
    </row>
    <row r="3" customFormat="false" ht="15.75" hidden="false" customHeight="false" outlineLevel="0" collapsed="false">
      <c r="A3" s="104" t="s">
        <v>692</v>
      </c>
      <c r="B3" s="48" t="s">
        <v>693</v>
      </c>
      <c r="C3" s="12"/>
      <c r="D3" s="12"/>
      <c r="E3" s="12"/>
      <c r="F3" s="12"/>
      <c r="G3" s="12"/>
      <c r="H3" s="12"/>
      <c r="I3" s="15" t="s">
        <v>16</v>
      </c>
      <c r="J3" s="15"/>
      <c r="K3" s="15"/>
      <c r="L3" s="15"/>
    </row>
    <row r="4" customFormat="false" ht="15" hidden="false" customHeight="false" outlineLevel="0" collapsed="false">
      <c r="A4" s="48"/>
      <c r="B4" s="48"/>
      <c r="C4" s="12"/>
      <c r="D4" s="12"/>
      <c r="E4" s="12"/>
      <c r="F4" s="12"/>
      <c r="G4" s="12"/>
      <c r="H4" s="12"/>
      <c r="I4" s="17"/>
      <c r="J4" s="18"/>
      <c r="K4" s="18"/>
      <c r="L4" s="19"/>
    </row>
    <row r="5" customFormat="false" ht="15" hidden="false" customHeight="false" outlineLevel="0" collapsed="false">
      <c r="A5" s="104" t="s">
        <v>694</v>
      </c>
      <c r="B5" s="48" t="s">
        <v>695</v>
      </c>
      <c r="C5" s="12"/>
      <c r="D5" s="12"/>
      <c r="E5" s="12"/>
      <c r="F5" s="12"/>
      <c r="G5" s="12"/>
      <c r="I5" s="20"/>
      <c r="J5" s="21"/>
      <c r="K5" s="22" t="s">
        <v>18</v>
      </c>
      <c r="L5" s="23"/>
    </row>
    <row r="6" customFormat="false" ht="15" hidden="false" customHeight="false" outlineLevel="0" collapsed="false">
      <c r="A6" s="48"/>
      <c r="B6" s="48"/>
      <c r="C6" s="12"/>
      <c r="D6" s="12"/>
      <c r="E6" s="12"/>
      <c r="F6" s="12"/>
      <c r="G6" s="12"/>
      <c r="I6" s="20"/>
      <c r="J6" s="27"/>
      <c r="K6" s="22" t="s">
        <v>20</v>
      </c>
      <c r="L6" s="23"/>
    </row>
    <row r="7" customFormat="false" ht="15.75" hidden="false" customHeight="false" outlineLevel="0" collapsed="false">
      <c r="A7" s="471"/>
      <c r="B7" s="471"/>
      <c r="C7" s="471"/>
      <c r="D7" s="471"/>
      <c r="E7" s="472" t="s">
        <v>696</v>
      </c>
      <c r="F7" s="473" t="s">
        <v>697</v>
      </c>
      <c r="G7" s="12"/>
      <c r="I7" s="20"/>
      <c r="J7" s="28"/>
      <c r="K7" s="22" t="s">
        <v>22</v>
      </c>
      <c r="L7" s="23"/>
    </row>
    <row r="8" customFormat="false" ht="33.75" hidden="false" customHeight="true" outlineLevel="0" collapsed="false">
      <c r="A8" s="474" t="s">
        <v>698</v>
      </c>
      <c r="B8" s="474"/>
      <c r="C8" s="474"/>
      <c r="D8" s="474"/>
      <c r="E8" s="475" t="s">
        <v>699</v>
      </c>
      <c r="F8" s="476" t="n">
        <f aca="false">IF('2.1.c Insumos'!F71="","Preencher valor do CIT em Dados de Insumo",('2.1.c Insumos'!F71/('2.1.b Veículos'!D58*SUM('1.3 Frota Total'!C19:F25))))</f>
        <v>0.346638473404163</v>
      </c>
      <c r="G8" s="12"/>
      <c r="I8" s="29"/>
      <c r="J8" s="30"/>
      <c r="K8" s="30"/>
      <c r="L8" s="31"/>
    </row>
    <row r="9" customFormat="false" ht="36" hidden="false" customHeight="true" outlineLevel="0" collapsed="false">
      <c r="A9" s="474" t="s">
        <v>700</v>
      </c>
      <c r="B9" s="474"/>
      <c r="C9" s="474"/>
      <c r="D9" s="474"/>
      <c r="E9" s="477" t="s">
        <v>701</v>
      </c>
      <c r="F9" s="476" t="n">
        <v>0.0152</v>
      </c>
      <c r="G9" s="12"/>
    </row>
    <row r="10" customFormat="false" ht="51.75" hidden="false" customHeight="true" outlineLevel="0" collapsed="false">
      <c r="A10" s="474" t="s">
        <v>702</v>
      </c>
      <c r="B10" s="474"/>
      <c r="C10" s="474"/>
      <c r="D10" s="474"/>
      <c r="E10" s="477" t="s">
        <v>703</v>
      </c>
      <c r="F10" s="476" t="n">
        <f aca="false">IF('2.1.c Insumos'!F75="","Preencher valor do CIG em Dados de Insumo",(0.5*'2.1.c Insumos'!F75/('2.1.b Veículos'!D58*SUM('1.3 Frota Total'!C19:F25))))</f>
        <v>0.00812433922041007</v>
      </c>
      <c r="G10" s="12"/>
    </row>
    <row r="11" customFormat="false" ht="15" hidden="false" customHeight="false" outlineLevel="0" collapsed="false">
      <c r="A11" s="48"/>
      <c r="B11" s="48"/>
      <c r="C11" s="12"/>
      <c r="D11" s="12"/>
      <c r="E11" s="12"/>
      <c r="F11" s="12"/>
      <c r="G11" s="12"/>
      <c r="H11" s="12"/>
      <c r="I11" s="12"/>
      <c r="J11" s="12"/>
      <c r="K11" s="12"/>
    </row>
    <row r="12" customFormat="false" ht="15" hidden="false" customHeight="false" outlineLevel="0" collapsed="false">
      <c r="A12" s="48"/>
      <c r="B12" s="48"/>
      <c r="C12" s="12"/>
      <c r="D12" s="12"/>
      <c r="E12" s="12"/>
      <c r="F12" s="12"/>
      <c r="G12" s="12"/>
      <c r="H12" s="12"/>
      <c r="I12" s="12"/>
      <c r="J12" s="12"/>
      <c r="K12" s="12"/>
    </row>
    <row r="13" customFormat="false" ht="15.75" hidden="false" customHeight="false" outlineLevel="0" collapsed="false">
      <c r="A13" s="478"/>
      <c r="B13" s="478"/>
      <c r="C13" s="478"/>
      <c r="D13" s="478"/>
      <c r="E13" s="479" t="s">
        <v>696</v>
      </c>
      <c r="F13" s="480" t="s">
        <v>697</v>
      </c>
      <c r="G13" s="12"/>
    </row>
    <row r="14" customFormat="false" ht="30.75" hidden="false" customHeight="true" outlineLevel="0" collapsed="false">
      <c r="A14" s="343" t="s">
        <v>698</v>
      </c>
      <c r="B14" s="343"/>
      <c r="C14" s="343"/>
      <c r="D14" s="343"/>
      <c r="E14" s="481" t="s">
        <v>699</v>
      </c>
      <c r="F14" s="482" t="n">
        <v>0.17</v>
      </c>
      <c r="G14" s="11"/>
      <c r="H14" s="221"/>
    </row>
    <row r="15" customFormat="false" ht="42" hidden="false" customHeight="true" outlineLevel="0" collapsed="false">
      <c r="A15" s="343" t="s">
        <v>700</v>
      </c>
      <c r="B15" s="343"/>
      <c r="C15" s="343"/>
      <c r="D15" s="343"/>
      <c r="E15" s="483" t="s">
        <v>701</v>
      </c>
      <c r="F15" s="482" t="n">
        <v>0.045</v>
      </c>
      <c r="G15" s="11"/>
      <c r="H15" s="221"/>
    </row>
    <row r="16" customFormat="false" ht="57.75" hidden="false" customHeight="true" outlineLevel="0" collapsed="false">
      <c r="A16" s="343" t="s">
        <v>702</v>
      </c>
      <c r="B16" s="343"/>
      <c r="C16" s="343"/>
      <c r="D16" s="343"/>
      <c r="E16" s="483" t="s">
        <v>703</v>
      </c>
      <c r="F16" s="482" t="n">
        <v>0.0129</v>
      </c>
      <c r="G16" s="11"/>
    </row>
    <row r="17" customFormat="false" ht="15" hidden="false" customHeight="false" outlineLevel="0" collapsed="false">
      <c r="A17" s="48"/>
      <c r="B17" s="48"/>
      <c r="C17" s="48"/>
      <c r="D17" s="48"/>
      <c r="E17" s="12"/>
      <c r="F17" s="12"/>
      <c r="G17" s="12"/>
    </row>
    <row r="18" customFormat="false" ht="15" hidden="false" customHeight="false" outlineLevel="0" collapsed="false">
      <c r="A18" s="104" t="s">
        <v>704</v>
      </c>
      <c r="B18" s="48" t="s">
        <v>705</v>
      </c>
      <c r="C18" s="12"/>
      <c r="D18" s="12"/>
      <c r="E18" s="12"/>
      <c r="F18" s="12"/>
      <c r="G18" s="12"/>
    </row>
    <row r="19" customFormat="false" ht="15" hidden="false" customHeight="false" outlineLevel="0" collapsed="false">
      <c r="A19" s="12"/>
      <c r="B19" s="12"/>
      <c r="C19" s="12"/>
      <c r="D19" s="12"/>
      <c r="E19" s="413"/>
      <c r="F19" s="12"/>
      <c r="G19" s="12"/>
      <c r="H19" s="12"/>
      <c r="I19" s="12"/>
      <c r="J19" s="12"/>
      <c r="K19" s="12"/>
    </row>
    <row r="20" customFormat="false" ht="15" hidden="false" customHeight="false" outlineLevel="0" collapsed="false">
      <c r="A20" s="12"/>
      <c r="B20" s="12"/>
      <c r="C20" s="52" t="s">
        <v>706</v>
      </c>
      <c r="D20" s="484" t="n">
        <f aca="false">IF(F8="Preencher valor do CIT em Dados de Insumo",(('A.X.b.  Remun. garagem equip.'!F14)*('2.1.c Insumos'!F68/100)*'2.1.b Veículos'!D58*SUM('1.3 Frota Total'!C19:F25)/12),(('A.X.b.  Remun. garagem equip.'!F8)*('2.1.c Insumos'!F68/100)*'2.1.b Veículos'!D58*SUM('1.3 Frota Total'!C19:F25)/12))+(IF(F9="Preencher valor do CIE em Dados de Insumo",(('A.X.b.  Remun. garagem equip.'!F15)*('2.1.c Insumos'!F68/100)*'2.1.b Veículos'!D58*SUM('1.3 Frota Total'!C19:F25)/12),(('A.X.b.  Remun. garagem equip.'!F9)*('2.1.c Insumos'!F68/100)*'2.1.b Veículos'!D58*SUM('1.3 Frota Total'!C19:F25)/12)))+(IF(F10="Preencher valor do CIG em Dados de Insumo",(('A.X.b.  Remun. garagem equip.'!F16)*('2.1.c Insumos'!F68/100)*'2.1.b Veículos'!D58*SUM('1.3 Frota Total'!C19:F25)/12),(('A.X.b.  Remun. garagem equip.'!F10)*('2.1.c Insumos'!F68/100)*'2.1.b Veículos'!D58*SUM('1.3 Frota Total'!C19:F25)/12)))</f>
        <v>2234.18791386667</v>
      </c>
      <c r="E20" s="485"/>
      <c r="F20" s="416"/>
      <c r="G20" s="12"/>
      <c r="H20" s="12"/>
      <c r="I20" s="12"/>
      <c r="J20" s="12"/>
      <c r="K20" s="12"/>
    </row>
  </sheetData>
  <mergeCells count="9">
    <mergeCell ref="I3:L3"/>
    <mergeCell ref="A7:D7"/>
    <mergeCell ref="A8:D8"/>
    <mergeCell ref="A9:D9"/>
    <mergeCell ref="A10:D10"/>
    <mergeCell ref="A13:D13"/>
    <mergeCell ref="A14:D14"/>
    <mergeCell ref="A15:D15"/>
    <mergeCell ref="A16:D16"/>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8" activeCellId="0" sqref="A18"/>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12" width="24.57"/>
    <col collapsed="false" customWidth="true" hidden="false" outlineLevel="0" max="6" min="6" style="12" width="34.29"/>
    <col collapsed="false" customWidth="false" hidden="false" outlineLevel="0" max="1024" min="7" style="12" width="11.42"/>
  </cols>
  <sheetData>
    <row r="1" customFormat="false" ht="15" hidden="false" customHeight="false" outlineLevel="0" collapsed="false">
      <c r="A1" s="36" t="s">
        <v>680</v>
      </c>
    </row>
    <row r="2" customFormat="false" ht="15.75" hidden="false" customHeight="false" outlineLevel="0" collapsed="false">
      <c r="A2" s="48"/>
      <c r="B2" s="48"/>
    </row>
    <row r="3" customFormat="false" ht="15.75" hidden="false" customHeight="false" outlineLevel="0" collapsed="false">
      <c r="A3" s="104" t="s">
        <v>707</v>
      </c>
      <c r="B3" s="48" t="s">
        <v>708</v>
      </c>
      <c r="G3" s="15" t="s">
        <v>16</v>
      </c>
      <c r="H3" s="15"/>
      <c r="I3" s="15"/>
      <c r="J3" s="15"/>
    </row>
    <row r="4" customFormat="false" ht="15" hidden="false" customHeight="false" outlineLevel="0" collapsed="false">
      <c r="G4" s="17"/>
      <c r="H4" s="18"/>
      <c r="I4" s="18"/>
      <c r="J4" s="19"/>
    </row>
    <row r="5" customFormat="false" ht="15" hidden="false" customHeight="false" outlineLevel="0" collapsed="false">
      <c r="A5" s="104" t="s">
        <v>709</v>
      </c>
      <c r="B5" s="48" t="s">
        <v>710</v>
      </c>
      <c r="G5" s="20"/>
      <c r="H5" s="21"/>
      <c r="I5" s="22" t="s">
        <v>18</v>
      </c>
      <c r="J5" s="23"/>
    </row>
    <row r="6" customFormat="false" ht="15" hidden="false" customHeight="false" outlineLevel="0" collapsed="false">
      <c r="E6" s="416"/>
      <c r="G6" s="20"/>
      <c r="H6" s="27"/>
      <c r="I6" s="22" t="s">
        <v>20</v>
      </c>
      <c r="J6" s="23"/>
    </row>
    <row r="7" customFormat="false" ht="15" hidden="false" customHeight="false" outlineLevel="0" collapsed="false">
      <c r="C7" s="486" t="s">
        <v>711</v>
      </c>
      <c r="D7" s="487" t="n">
        <f aca="false">IF('2.1.c Insumos'!F78="","Preencher valor do CEB em Dados de Insumo",(0.5*'2.1.c Insumos'!F78/('2.1.b Veículos'!D58*SUM('1.3 Frota Total'!C19:F25))))</f>
        <v>0.00162486784408201</v>
      </c>
      <c r="E7" s="416"/>
      <c r="G7" s="20"/>
      <c r="H7" s="28"/>
      <c r="I7" s="22" t="s">
        <v>22</v>
      </c>
      <c r="J7" s="23"/>
    </row>
    <row r="8" customFormat="false" ht="15.75" hidden="false" customHeight="false" outlineLevel="0" collapsed="false">
      <c r="G8" s="29"/>
      <c r="H8" s="30"/>
      <c r="I8" s="30"/>
      <c r="J8" s="31"/>
    </row>
    <row r="9" customFormat="false" ht="15" hidden="false" customHeight="false" outlineLevel="0" collapsed="false">
      <c r="C9" s="488" t="s">
        <v>711</v>
      </c>
      <c r="D9" s="489" t="n">
        <v>0.02</v>
      </c>
      <c r="E9" s="11"/>
    </row>
  </sheetData>
  <mergeCells count="1">
    <mergeCell ref="G3:J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7" activeCellId="0" sqref="D7"/>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12" width="24.57"/>
    <col collapsed="false" customWidth="true" hidden="false" outlineLevel="0" max="6" min="6" style="12" width="8.29"/>
    <col collapsed="false" customWidth="true" hidden="false" outlineLevel="0" max="7" min="7" style="12" width="1.42"/>
    <col collapsed="false" customWidth="true" hidden="false" outlineLevel="0" max="8" min="8" style="12" width="8.14"/>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36" t="s">
        <v>680</v>
      </c>
    </row>
    <row r="2" customFormat="false" ht="15.75" hidden="false" customHeight="false" outlineLevel="0" collapsed="false">
      <c r="A2" s="48"/>
      <c r="B2" s="48"/>
    </row>
    <row r="3" customFormat="false" ht="15.75" hidden="false" customHeight="false" outlineLevel="0" collapsed="false">
      <c r="A3" s="104" t="s">
        <v>712</v>
      </c>
      <c r="B3" s="48" t="s">
        <v>713</v>
      </c>
      <c r="G3" s="59" t="s">
        <v>16</v>
      </c>
      <c r="H3" s="59"/>
      <c r="I3" s="59"/>
      <c r="J3" s="336"/>
    </row>
    <row r="4" customFormat="false" ht="15" hidden="false" customHeight="false" outlineLevel="0" collapsed="false">
      <c r="A4" s="104"/>
      <c r="B4" s="48"/>
      <c r="G4" s="17"/>
      <c r="H4" s="18"/>
      <c r="I4" s="18"/>
      <c r="J4" s="19"/>
    </row>
    <row r="5" customFormat="false" ht="15" hidden="false" customHeight="false" outlineLevel="0" collapsed="false">
      <c r="A5" s="104" t="s">
        <v>714</v>
      </c>
      <c r="B5" s="48" t="s">
        <v>715</v>
      </c>
      <c r="G5" s="20"/>
      <c r="H5" s="21"/>
      <c r="I5" s="22" t="s">
        <v>18</v>
      </c>
      <c r="J5" s="23"/>
    </row>
    <row r="6" customFormat="false" ht="15" hidden="false" customHeight="false" outlineLevel="0" collapsed="false">
      <c r="G6" s="20"/>
      <c r="H6" s="27"/>
      <c r="I6" s="22" t="s">
        <v>20</v>
      </c>
      <c r="J6" s="23"/>
    </row>
    <row r="7" customFormat="false" ht="15" hidden="false" customHeight="false" outlineLevel="0" collapsed="false">
      <c r="C7" s="490" t="s">
        <v>716</v>
      </c>
      <c r="D7" s="491" t="n">
        <f aca="false">0.5*('1.3 Frota Total'!C103*'2.1.b Veículos'!D17+'1.3 Frota Total'!C104*'2.1.b Veículos'!D18+'1.3 Frota Total'!C105*'2.1.b Veículos'!D19+'1.3 Frota Total'!C106*'2.1.b Veículos'!D20+'1.3 Frota Total'!C107*'2.1.b Veículos'!D21)/('2.1.b Veículos'!D58*SUM('1.3 Frota Total'!C19:F25))</f>
        <v>0.00379135830285803</v>
      </c>
      <c r="E7" s="416"/>
      <c r="G7" s="20"/>
      <c r="H7" s="28"/>
      <c r="I7" s="22" t="s">
        <v>22</v>
      </c>
      <c r="J7" s="23"/>
    </row>
    <row r="8" customFormat="false" ht="15.75" hidden="false" customHeight="false" outlineLevel="0" collapsed="false">
      <c r="G8" s="29"/>
      <c r="H8" s="30"/>
      <c r="I8" s="30"/>
      <c r="J8" s="31"/>
    </row>
  </sheetData>
  <mergeCells count="1">
    <mergeCell ref="G3:I3"/>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J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4" activeCellId="0" sqref="E4"/>
    </sheetView>
  </sheetViews>
  <sheetFormatPr defaultColWidth="11.43359375" defaultRowHeight="15" zeroHeight="false" outlineLevelRow="0" outlineLevelCol="0"/>
  <cols>
    <col collapsed="false" customWidth="true" hidden="false" outlineLevel="0" max="1" min="1" style="12" width="7"/>
    <col collapsed="false" customWidth="true" hidden="false" outlineLevel="0" max="2" min="2" style="12" width="2.71"/>
    <col collapsed="false" customWidth="true" hidden="false" outlineLevel="0" max="3" min="3" style="12" width="5.57"/>
    <col collapsed="false" customWidth="true" hidden="false" outlineLevel="0" max="4" min="4" style="12" width="22.14"/>
    <col collapsed="false" customWidth="true" hidden="false" outlineLevel="0" max="5" min="5" style="12" width="24.57"/>
    <col collapsed="false" customWidth="true" hidden="false" outlineLevel="0" max="6" min="6" style="12" width="8.29"/>
    <col collapsed="false" customWidth="true" hidden="false" outlineLevel="0" max="7" min="7" style="12" width="1.42"/>
    <col collapsed="false" customWidth="true" hidden="false" outlineLevel="0" max="8" min="8" style="12" width="15.71"/>
    <col collapsed="false" customWidth="true" hidden="false" outlineLevel="0" max="9" min="9" style="12" width="38.7"/>
    <col collapsed="false" customWidth="true" hidden="false" outlineLevel="0" max="10" min="10" style="12" width="1.14"/>
    <col collapsed="false" customWidth="false" hidden="false" outlineLevel="0" max="1024" min="11" style="12" width="11.42"/>
  </cols>
  <sheetData>
    <row r="1" customFormat="false" ht="15" hidden="false" customHeight="false" outlineLevel="0" collapsed="false">
      <c r="A1" s="36" t="s">
        <v>680</v>
      </c>
    </row>
    <row r="2" customFormat="false" ht="15.75" hidden="false" customHeight="false" outlineLevel="0" collapsed="false">
      <c r="A2" s="48" t="s">
        <v>717</v>
      </c>
      <c r="B2" s="12" t="s">
        <v>718</v>
      </c>
    </row>
    <row r="3" customFormat="false" ht="16.5" hidden="false" customHeight="false" outlineLevel="0" collapsed="false">
      <c r="A3" s="492"/>
      <c r="B3" s="492"/>
      <c r="C3" s="492"/>
      <c r="D3" s="492"/>
      <c r="E3" s="493"/>
      <c r="G3" s="15" t="s">
        <v>16</v>
      </c>
      <c r="H3" s="15"/>
      <c r="I3" s="15"/>
      <c r="J3" s="15"/>
    </row>
    <row r="4" customFormat="false" ht="15.75" hidden="false" customHeight="true" outlineLevel="0" collapsed="false">
      <c r="A4" s="494" t="s">
        <v>719</v>
      </c>
      <c r="B4" s="494"/>
      <c r="C4" s="494"/>
      <c r="D4" s="494"/>
      <c r="E4" s="495" t="n">
        <f aca="false">'2.1.c Insumos'!F62</f>
        <v>0</v>
      </c>
      <c r="G4" s="17"/>
      <c r="H4" s="18"/>
      <c r="I4" s="18"/>
      <c r="J4" s="19"/>
    </row>
    <row r="5" customFormat="false" ht="15.75" hidden="false" customHeight="true" outlineLevel="0" collapsed="false">
      <c r="A5" s="496" t="s">
        <v>720</v>
      </c>
      <c r="B5" s="496"/>
      <c r="C5" s="496"/>
      <c r="D5" s="496"/>
      <c r="E5" s="497" t="e">
        <f aca="false">1/E4</f>
        <v>#DIV/0!</v>
      </c>
      <c r="G5" s="20"/>
      <c r="H5" s="21"/>
      <c r="I5" s="22" t="s">
        <v>18</v>
      </c>
      <c r="J5" s="23"/>
    </row>
    <row r="6" customFormat="false" ht="15.75" hidden="false" customHeight="false" outlineLevel="0" collapsed="false">
      <c r="A6" s="498"/>
      <c r="B6" s="498"/>
      <c r="C6" s="498"/>
      <c r="D6" s="498"/>
      <c r="E6" s="499"/>
      <c r="G6" s="20"/>
      <c r="H6" s="27"/>
      <c r="I6" s="22" t="s">
        <v>20</v>
      </c>
      <c r="J6" s="23"/>
    </row>
    <row r="7" customFormat="false" ht="15" hidden="false" customHeight="true" outlineLevel="0" collapsed="false">
      <c r="A7" s="48"/>
      <c r="B7" s="48"/>
      <c r="C7" s="48"/>
      <c r="D7" s="48"/>
      <c r="G7" s="20"/>
      <c r="H7" s="28"/>
      <c r="I7" s="22" t="s">
        <v>22</v>
      </c>
      <c r="J7" s="23"/>
    </row>
    <row r="8" customFormat="false" ht="15.75" hidden="false" customHeight="false" outlineLevel="0" collapsed="false">
      <c r="A8" s="48" t="s">
        <v>721</v>
      </c>
      <c r="B8" s="48" t="s">
        <v>722</v>
      </c>
      <c r="G8" s="29"/>
      <c r="H8" s="30"/>
      <c r="I8" s="30"/>
      <c r="J8" s="31"/>
    </row>
    <row r="10" customFormat="false" ht="15" hidden="false" customHeight="false" outlineLevel="0" collapsed="false">
      <c r="C10" s="500" t="s">
        <v>723</v>
      </c>
      <c r="D10" s="501" t="e">
        <f aca="false">(1/12)*(1-(E5*(E4/2)))</f>
        <v>#DIV/0!</v>
      </c>
      <c r="E10" s="416"/>
    </row>
    <row r="24" customFormat="false" ht="15" hidden="false" customHeight="false" outlineLevel="0" collapsed="false">
      <c r="E24" s="48"/>
    </row>
  </sheetData>
  <mergeCells count="5">
    <mergeCell ref="A3:D3"/>
    <mergeCell ref="G3:J3"/>
    <mergeCell ref="A4:D4"/>
    <mergeCell ref="A5:D5"/>
    <mergeCell ref="A6:D6"/>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2.75" zeroHeight="false" outlineLevelRow="0" outlineLevelCol="0"/>
  <sheetData>
    <row r="1" customFormat="false" ht="15.75" hidden="false" customHeight="false" outlineLevel="0" collapsed="false">
      <c r="A1" s="36" t="s">
        <v>680</v>
      </c>
    </row>
    <row r="2" customFormat="false" ht="15.75" hidden="false" customHeight="false" outlineLevel="0" collapsed="false">
      <c r="A2" s="48"/>
      <c r="B2" s="48"/>
      <c r="K2" s="15" t="s">
        <v>16</v>
      </c>
      <c r="L2" s="15"/>
      <c r="M2" s="15"/>
      <c r="N2" s="15"/>
    </row>
    <row r="3" customFormat="false" ht="15" hidden="false" customHeight="false" outlineLevel="0" collapsed="false">
      <c r="A3" s="104" t="s">
        <v>724</v>
      </c>
      <c r="B3" s="48" t="s">
        <v>725</v>
      </c>
      <c r="K3" s="17"/>
      <c r="L3" s="18"/>
      <c r="M3" s="18"/>
      <c r="N3" s="19"/>
    </row>
    <row r="4" customFormat="false" ht="15" hidden="false" customHeight="false" outlineLevel="0" collapsed="false">
      <c r="K4" s="20"/>
      <c r="L4" s="21"/>
      <c r="M4" s="22" t="s">
        <v>18</v>
      </c>
      <c r="N4" s="23"/>
    </row>
    <row r="5" customFormat="false" ht="15" hidden="false" customHeight="false" outlineLevel="0" collapsed="false">
      <c r="A5" s="104" t="s">
        <v>726</v>
      </c>
      <c r="B5" s="48" t="s">
        <v>727</v>
      </c>
      <c r="K5" s="20"/>
      <c r="L5" s="27"/>
      <c r="M5" s="22" t="s">
        <v>20</v>
      </c>
      <c r="N5" s="23"/>
    </row>
    <row r="6" customFormat="false" ht="15" hidden="false" customHeight="false" outlineLevel="0" collapsed="false">
      <c r="A6" s="104"/>
      <c r="B6" s="48"/>
      <c r="K6" s="20"/>
      <c r="L6" s="28"/>
      <c r="M6" s="22" t="s">
        <v>22</v>
      </c>
      <c r="N6" s="23"/>
    </row>
    <row r="7" customFormat="false" ht="15.75" hidden="false" customHeight="false" outlineLevel="0" collapsed="false">
      <c r="A7" s="12"/>
      <c r="B7" s="502" t="s">
        <v>723</v>
      </c>
      <c r="C7" s="503" t="n">
        <v>0.5</v>
      </c>
      <c r="D7" s="11"/>
      <c r="E7" s="12"/>
      <c r="K7" s="29"/>
      <c r="L7" s="30"/>
      <c r="M7" s="30"/>
      <c r="N7" s="31"/>
    </row>
    <row r="8" customFormat="false" ht="15" hidden="false" customHeight="false" outlineLevel="0" collapsed="false">
      <c r="A8" s="12"/>
      <c r="B8" s="12"/>
      <c r="C8" s="12"/>
      <c r="D8" s="416"/>
      <c r="E8" s="12"/>
    </row>
    <row r="9" customFormat="false" ht="15" hidden="false" customHeight="false" outlineLevel="0" collapsed="false">
      <c r="A9" s="12"/>
      <c r="B9" s="12"/>
      <c r="C9" s="12"/>
      <c r="D9" s="12"/>
      <c r="E9" s="12"/>
    </row>
  </sheetData>
  <mergeCells count="1">
    <mergeCell ref="K2:N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M137"/>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D21" activeCellId="0" sqref="D21"/>
    </sheetView>
  </sheetViews>
  <sheetFormatPr defaultColWidth="11.43359375" defaultRowHeight="15" zeroHeight="false" outlineLevelRow="0" outlineLevelCol="0"/>
  <cols>
    <col collapsed="false" customWidth="true" hidden="false" outlineLevel="0" max="1" min="1" style="12" width="12.29"/>
    <col collapsed="false" customWidth="true" hidden="false" outlineLevel="0" max="2" min="2" style="12" width="31.57"/>
    <col collapsed="false" customWidth="true" hidden="false" outlineLevel="0" max="3" min="3" style="12" width="48.42"/>
    <col collapsed="false" customWidth="true" hidden="false" outlineLevel="0" max="4" min="4" style="12" width="38.7"/>
    <col collapsed="false" customWidth="true" hidden="false" outlineLevel="0" max="5" min="5" style="12" width="36.71"/>
    <col collapsed="false" customWidth="true" hidden="false" outlineLevel="0" max="6" min="6" style="12" width="30.7"/>
    <col collapsed="false" customWidth="true" hidden="false" outlineLevel="0" max="7" min="7" style="12" width="27.42"/>
    <col collapsed="false" customWidth="true" hidden="false" outlineLevel="0" max="8" min="8" style="12" width="29.29"/>
    <col collapsed="false" customWidth="false" hidden="false" outlineLevel="0" max="9" min="9" style="12" width="11.42"/>
    <col collapsed="false" customWidth="true" hidden="false" outlineLevel="0" max="10" min="10" style="12" width="1"/>
    <col collapsed="false" customWidth="false" hidden="false" outlineLevel="0" max="11" min="11" style="12" width="11.42"/>
    <col collapsed="false" customWidth="true" hidden="false" outlineLevel="0" max="12" min="12" style="12" width="38.7"/>
    <col collapsed="false" customWidth="true" hidden="false" outlineLevel="0" max="13" min="13" style="12" width="1"/>
    <col collapsed="false" customWidth="false" hidden="false" outlineLevel="0" max="1024" min="14" style="12" width="11.42"/>
  </cols>
  <sheetData>
    <row r="1" customFormat="false" ht="15" hidden="false" customHeight="false" outlineLevel="0" collapsed="false">
      <c r="A1" s="13" t="s">
        <v>119</v>
      </c>
      <c r="B1" s="13"/>
      <c r="C1" s="13"/>
      <c r="D1" s="13"/>
      <c r="E1" s="13"/>
      <c r="F1" s="13"/>
      <c r="G1" s="13"/>
      <c r="H1" s="13"/>
      <c r="I1" s="13"/>
      <c r="J1" s="13"/>
      <c r="K1" s="13"/>
    </row>
    <row r="2" customFormat="false" ht="15.75" hidden="false" customHeight="false" outlineLevel="0" collapsed="false"/>
    <row r="3" customFormat="false" ht="15.75" hidden="false" customHeight="false" outlineLevel="0" collapsed="false">
      <c r="A3" s="16" t="s">
        <v>120</v>
      </c>
      <c r="C3" s="88" t="s">
        <v>121</v>
      </c>
      <c r="D3" s="88"/>
      <c r="E3" s="88"/>
      <c r="J3" s="15" t="s">
        <v>16</v>
      </c>
      <c r="K3" s="15"/>
      <c r="L3" s="15"/>
      <c r="M3" s="15"/>
    </row>
    <row r="4" customFormat="false" ht="15" hidden="false" customHeight="false" outlineLevel="0" collapsed="false">
      <c r="A4" s="14"/>
      <c r="C4" s="89" t="s">
        <v>122</v>
      </c>
      <c r="D4" s="89" t="s">
        <v>123</v>
      </c>
      <c r="E4" s="89" t="s">
        <v>124</v>
      </c>
      <c r="J4" s="17"/>
      <c r="K4" s="18"/>
      <c r="L4" s="18"/>
      <c r="M4" s="19"/>
    </row>
    <row r="5" customFormat="false" ht="15" hidden="false" customHeight="false" outlineLevel="0" collapsed="false">
      <c r="A5" s="90" t="s">
        <v>125</v>
      </c>
      <c r="B5" s="90"/>
      <c r="C5" s="91" t="s">
        <v>126</v>
      </c>
      <c r="D5" s="91" t="s">
        <v>127</v>
      </c>
      <c r="E5" s="91" t="s">
        <v>128</v>
      </c>
      <c r="J5" s="20"/>
      <c r="K5" s="21"/>
      <c r="L5" s="22" t="s">
        <v>18</v>
      </c>
      <c r="M5" s="23"/>
    </row>
    <row r="6" customFormat="false" ht="15" hidden="false" customHeight="false" outlineLevel="0" collapsed="false">
      <c r="A6" s="90" t="s">
        <v>129</v>
      </c>
      <c r="B6" s="90"/>
      <c r="C6" s="91" t="s">
        <v>130</v>
      </c>
      <c r="D6" s="91" t="s">
        <v>131</v>
      </c>
      <c r="E6" s="91" t="s">
        <v>132</v>
      </c>
      <c r="J6" s="20"/>
      <c r="K6" s="27"/>
      <c r="L6" s="22" t="s">
        <v>20</v>
      </c>
      <c r="M6" s="23"/>
    </row>
    <row r="7" customFormat="false" ht="15" hidden="false" customHeight="false" outlineLevel="0" collapsed="false">
      <c r="A7" s="90" t="s">
        <v>133</v>
      </c>
      <c r="B7" s="90"/>
      <c r="C7" s="91" t="s">
        <v>134</v>
      </c>
      <c r="D7" s="91" t="s">
        <v>135</v>
      </c>
      <c r="E7" s="91" t="s">
        <v>136</v>
      </c>
      <c r="J7" s="20"/>
      <c r="K7" s="28"/>
      <c r="L7" s="22" t="s">
        <v>22</v>
      </c>
      <c r="M7" s="23"/>
    </row>
    <row r="8" customFormat="false" ht="15.75" hidden="false" customHeight="false" outlineLevel="0" collapsed="false">
      <c r="A8" s="90" t="s">
        <v>137</v>
      </c>
      <c r="B8" s="90"/>
      <c r="C8" s="91" t="s">
        <v>138</v>
      </c>
      <c r="D8" s="91" t="s">
        <v>139</v>
      </c>
      <c r="E8" s="91" t="s">
        <v>140</v>
      </c>
      <c r="J8" s="29"/>
      <c r="K8" s="30"/>
      <c r="L8" s="30"/>
      <c r="M8" s="31"/>
    </row>
    <row r="9" customFormat="false" ht="15" hidden="false" customHeight="false" outlineLevel="0" collapsed="false">
      <c r="A9" s="90" t="s">
        <v>141</v>
      </c>
      <c r="B9" s="90"/>
      <c r="C9" s="91" t="s">
        <v>142</v>
      </c>
      <c r="D9" s="91" t="s">
        <v>139</v>
      </c>
      <c r="E9" s="91" t="s">
        <v>140</v>
      </c>
    </row>
    <row r="10" customFormat="false" ht="15" hidden="false" customHeight="false" outlineLevel="0" collapsed="false">
      <c r="A10" s="90" t="s">
        <v>143</v>
      </c>
      <c r="B10" s="90"/>
      <c r="C10" s="91" t="s">
        <v>144</v>
      </c>
      <c r="D10" s="91" t="s">
        <v>145</v>
      </c>
      <c r="E10" s="91" t="s">
        <v>146</v>
      </c>
    </row>
    <row r="11" customFormat="false" ht="15" hidden="false" customHeight="false" outlineLevel="0" collapsed="false">
      <c r="A11" s="90" t="s">
        <v>147</v>
      </c>
      <c r="B11" s="90"/>
      <c r="C11" s="91" t="s">
        <v>148</v>
      </c>
      <c r="D11" s="91" t="s">
        <v>149</v>
      </c>
      <c r="E11" s="91" t="s">
        <v>150</v>
      </c>
    </row>
    <row r="12" customFormat="false" ht="15.75" hidden="false" customHeight="false" outlineLevel="0" collapsed="false">
      <c r="A12" s="14"/>
      <c r="B12" s="1"/>
      <c r="C12" s="36"/>
    </row>
    <row r="13" customFormat="false" ht="15" hidden="false" customHeight="false" outlineLevel="0" collapsed="false">
      <c r="A13" s="16" t="s">
        <v>151</v>
      </c>
      <c r="B13" s="48"/>
      <c r="C13" s="48"/>
      <c r="D13" s="48"/>
      <c r="E13" s="48"/>
      <c r="F13" s="48"/>
      <c r="G13" s="48"/>
      <c r="H13" s="48"/>
      <c r="I13" s="48"/>
      <c r="J13" s="48"/>
      <c r="K13" s="48"/>
    </row>
    <row r="14" customFormat="false" ht="15" hidden="false" customHeight="false" outlineLevel="0" collapsed="false">
      <c r="A14" s="16"/>
      <c r="B14" s="48"/>
      <c r="C14" s="48"/>
      <c r="D14" s="48"/>
      <c r="E14" s="48"/>
      <c r="F14" s="48"/>
      <c r="G14" s="48"/>
      <c r="H14" s="48"/>
      <c r="I14" s="48"/>
      <c r="J14" s="48"/>
      <c r="K14" s="48"/>
    </row>
    <row r="15" customFormat="false" ht="15" hidden="false" customHeight="false" outlineLevel="0" collapsed="false">
      <c r="A15" s="16" t="s">
        <v>152</v>
      </c>
      <c r="B15" s="48"/>
      <c r="C15" s="48"/>
      <c r="D15" s="48"/>
      <c r="E15" s="48"/>
      <c r="F15" s="48"/>
      <c r="G15" s="48"/>
      <c r="H15" s="48"/>
      <c r="I15" s="48"/>
      <c r="J15" s="48"/>
      <c r="K15" s="48"/>
    </row>
    <row r="16" customFormat="false" ht="15" hidden="false" customHeight="false" outlineLevel="0" collapsed="false">
      <c r="A16" s="16"/>
      <c r="B16" s="48"/>
      <c r="C16" s="48"/>
      <c r="D16" s="48"/>
      <c r="E16" s="48"/>
      <c r="F16" s="48"/>
      <c r="G16" s="48"/>
      <c r="H16" s="48"/>
      <c r="I16" s="48"/>
      <c r="J16" s="48"/>
      <c r="K16" s="48"/>
    </row>
    <row r="17" customFormat="false" ht="15" hidden="false" customHeight="false" outlineLevel="0" collapsed="false">
      <c r="A17" s="92" t="s">
        <v>153</v>
      </c>
      <c r="B17" s="92"/>
      <c r="C17" s="93" t="s">
        <v>154</v>
      </c>
      <c r="D17" s="93"/>
      <c r="E17" s="93" t="s">
        <v>155</v>
      </c>
      <c r="F17" s="93"/>
    </row>
    <row r="18" customFormat="false" ht="15" hidden="false" customHeight="false" outlineLevel="0" collapsed="false">
      <c r="A18" s="92"/>
      <c r="B18" s="92"/>
      <c r="C18" s="93" t="s">
        <v>156</v>
      </c>
      <c r="D18" s="93" t="s">
        <v>157</v>
      </c>
      <c r="E18" s="93" t="s">
        <v>158</v>
      </c>
      <c r="F18" s="93" t="s">
        <v>159</v>
      </c>
    </row>
    <row r="19" customFormat="false" ht="15" hidden="false" customHeight="true" outlineLevel="0" collapsed="false">
      <c r="A19" s="94" t="s">
        <v>125</v>
      </c>
      <c r="B19" s="94"/>
      <c r="C19" s="95"/>
      <c r="D19" s="95"/>
      <c r="E19" s="95"/>
      <c r="F19" s="95"/>
    </row>
    <row r="20" customFormat="false" ht="15" hidden="false" customHeight="false" outlineLevel="0" collapsed="false">
      <c r="A20" s="94" t="s">
        <v>129</v>
      </c>
      <c r="B20" s="94"/>
      <c r="C20" s="95"/>
      <c r="D20" s="95"/>
      <c r="E20" s="95"/>
      <c r="F20" s="95"/>
    </row>
    <row r="21" customFormat="false" ht="15" hidden="false" customHeight="false" outlineLevel="0" collapsed="false">
      <c r="A21" s="94" t="s">
        <v>133</v>
      </c>
      <c r="B21" s="94"/>
      <c r="C21" s="95"/>
      <c r="D21" s="95"/>
      <c r="E21" s="95"/>
      <c r="F21" s="95"/>
    </row>
    <row r="22" customFormat="false" ht="15" hidden="false" customHeight="false" outlineLevel="0" collapsed="false">
      <c r="A22" s="94" t="s">
        <v>137</v>
      </c>
      <c r="B22" s="94"/>
      <c r="C22" s="95" t="n">
        <v>12</v>
      </c>
      <c r="D22" s="95"/>
      <c r="E22" s="95"/>
      <c r="F22" s="95" t="n">
        <v>2</v>
      </c>
    </row>
    <row r="23" customFormat="false" ht="15" hidden="false" customHeight="false" outlineLevel="0" collapsed="false">
      <c r="A23" s="94" t="s">
        <v>141</v>
      </c>
      <c r="B23" s="94"/>
      <c r="C23" s="95"/>
      <c r="D23" s="95"/>
      <c r="E23" s="95"/>
      <c r="F23" s="95"/>
    </row>
    <row r="24" customFormat="false" ht="15" hidden="false" customHeight="false" outlineLevel="0" collapsed="false">
      <c r="A24" s="94" t="s">
        <v>143</v>
      </c>
      <c r="B24" s="94"/>
      <c r="C24" s="95"/>
      <c r="D24" s="95"/>
      <c r="E24" s="95"/>
      <c r="F24" s="95"/>
    </row>
    <row r="25" customFormat="false" ht="15" hidden="false" customHeight="false" outlineLevel="0" collapsed="false">
      <c r="A25" s="94" t="s">
        <v>147</v>
      </c>
      <c r="B25" s="94"/>
      <c r="C25" s="95"/>
      <c r="D25" s="95"/>
      <c r="E25" s="95"/>
      <c r="F25" s="95"/>
      <c r="G25" s="96"/>
    </row>
    <row r="27" customFormat="false" ht="15" hidden="false" customHeight="false" outlineLevel="0" collapsed="false">
      <c r="A27" s="16" t="s">
        <v>160</v>
      </c>
      <c r="B27" s="48"/>
    </row>
    <row r="28" customFormat="false" ht="15" hidden="false" customHeight="false" outlineLevel="0" collapsed="false">
      <c r="A28" s="16"/>
      <c r="B28" s="48"/>
    </row>
    <row r="29" customFormat="false" ht="15" hidden="false" customHeight="false" outlineLevel="0" collapsed="false">
      <c r="A29" s="93" t="s">
        <v>153</v>
      </c>
      <c r="B29" s="93"/>
      <c r="C29" s="93"/>
      <c r="D29" s="93" t="s">
        <v>161</v>
      </c>
      <c r="E29" s="93" t="s">
        <v>154</v>
      </c>
      <c r="F29" s="93"/>
      <c r="G29" s="93" t="s">
        <v>155</v>
      </c>
      <c r="H29" s="93"/>
    </row>
    <row r="30" customFormat="false" ht="15" hidden="false" customHeight="false" outlineLevel="0" collapsed="false">
      <c r="A30" s="93"/>
      <c r="B30" s="93"/>
      <c r="C30" s="93"/>
      <c r="D30" s="93"/>
      <c r="E30" s="93" t="s">
        <v>156</v>
      </c>
      <c r="F30" s="93" t="s">
        <v>157</v>
      </c>
      <c r="G30" s="93" t="s">
        <v>156</v>
      </c>
      <c r="H30" s="93" t="s">
        <v>157</v>
      </c>
    </row>
    <row r="31" customFormat="false" ht="15" hidden="false" customHeight="false" outlineLevel="0" collapsed="false">
      <c r="A31" s="97" t="s">
        <v>162</v>
      </c>
      <c r="B31" s="97"/>
      <c r="C31" s="97"/>
      <c r="D31" s="98" t="n">
        <v>0</v>
      </c>
      <c r="E31" s="95"/>
      <c r="F31" s="95"/>
      <c r="G31" s="95"/>
      <c r="H31" s="95"/>
      <c r="L31" s="96"/>
    </row>
    <row r="32" customFormat="false" ht="15" hidden="false" customHeight="false" outlineLevel="0" collapsed="false">
      <c r="A32" s="97"/>
      <c r="B32" s="97"/>
      <c r="C32" s="97"/>
      <c r="D32" s="99" t="n">
        <v>1</v>
      </c>
      <c r="E32" s="95"/>
      <c r="F32" s="95"/>
      <c r="G32" s="95"/>
      <c r="H32" s="95"/>
    </row>
    <row r="33" customFormat="false" ht="15" hidden="false" customHeight="false" outlineLevel="0" collapsed="false">
      <c r="A33" s="97"/>
      <c r="B33" s="97"/>
      <c r="C33" s="97"/>
      <c r="D33" s="99" t="n">
        <v>2</v>
      </c>
      <c r="E33" s="95"/>
      <c r="F33" s="95"/>
      <c r="G33" s="95"/>
      <c r="H33" s="95"/>
    </row>
    <row r="34" customFormat="false" ht="15" hidden="false" customHeight="false" outlineLevel="0" collapsed="false">
      <c r="A34" s="97"/>
      <c r="B34" s="97"/>
      <c r="C34" s="97"/>
      <c r="D34" s="99" t="n">
        <v>3</v>
      </c>
      <c r="E34" s="95"/>
      <c r="F34" s="95"/>
      <c r="G34" s="95"/>
      <c r="H34" s="95"/>
    </row>
    <row r="35" customFormat="false" ht="15" hidden="false" customHeight="false" outlineLevel="0" collapsed="false">
      <c r="A35" s="97"/>
      <c r="B35" s="97"/>
      <c r="C35" s="97"/>
      <c r="D35" s="99" t="n">
        <v>4</v>
      </c>
      <c r="E35" s="95"/>
      <c r="F35" s="95"/>
      <c r="G35" s="95"/>
      <c r="H35" s="95"/>
    </row>
    <row r="36" customFormat="false" ht="15" hidden="false" customHeight="false" outlineLevel="0" collapsed="false">
      <c r="A36" s="97"/>
      <c r="B36" s="97"/>
      <c r="C36" s="97"/>
      <c r="D36" s="99" t="n">
        <v>5</v>
      </c>
      <c r="E36" s="95"/>
      <c r="F36" s="95"/>
      <c r="G36" s="95"/>
      <c r="H36" s="95"/>
    </row>
    <row r="37" customFormat="false" ht="15" hidden="false" customHeight="false" outlineLevel="0" collapsed="false">
      <c r="A37" s="97" t="s">
        <v>129</v>
      </c>
      <c r="B37" s="97"/>
      <c r="C37" s="97"/>
      <c r="D37" s="99" t="n">
        <v>0</v>
      </c>
      <c r="E37" s="95"/>
      <c r="F37" s="95"/>
      <c r="G37" s="95"/>
      <c r="H37" s="95"/>
    </row>
    <row r="38" customFormat="false" ht="15" hidden="false" customHeight="false" outlineLevel="0" collapsed="false">
      <c r="A38" s="97"/>
      <c r="B38" s="97"/>
      <c r="C38" s="97"/>
      <c r="D38" s="99" t="n">
        <v>1</v>
      </c>
      <c r="E38" s="95"/>
      <c r="F38" s="95"/>
      <c r="G38" s="95"/>
      <c r="H38" s="95"/>
    </row>
    <row r="39" customFormat="false" ht="15" hidden="false" customHeight="false" outlineLevel="0" collapsed="false">
      <c r="A39" s="97"/>
      <c r="B39" s="97"/>
      <c r="C39" s="97"/>
      <c r="D39" s="99" t="n">
        <v>2</v>
      </c>
      <c r="E39" s="95"/>
      <c r="F39" s="95"/>
      <c r="G39" s="95"/>
      <c r="H39" s="95"/>
    </row>
    <row r="40" customFormat="false" ht="15" hidden="false" customHeight="false" outlineLevel="0" collapsed="false">
      <c r="A40" s="97"/>
      <c r="B40" s="97"/>
      <c r="C40" s="97"/>
      <c r="D40" s="99" t="n">
        <v>3</v>
      </c>
      <c r="E40" s="95"/>
      <c r="F40" s="95"/>
      <c r="G40" s="95"/>
      <c r="H40" s="95"/>
    </row>
    <row r="41" customFormat="false" ht="15" hidden="false" customHeight="false" outlineLevel="0" collapsed="false">
      <c r="A41" s="97"/>
      <c r="B41" s="97"/>
      <c r="C41" s="97"/>
      <c r="D41" s="99" t="n">
        <v>4</v>
      </c>
      <c r="E41" s="95"/>
      <c r="F41" s="95"/>
      <c r="G41" s="95"/>
      <c r="H41" s="95"/>
    </row>
    <row r="42" customFormat="false" ht="15" hidden="false" customHeight="false" outlineLevel="0" collapsed="false">
      <c r="A42" s="97"/>
      <c r="B42" s="97"/>
      <c r="C42" s="97"/>
      <c r="D42" s="99" t="n">
        <v>5</v>
      </c>
      <c r="E42" s="95"/>
      <c r="F42" s="95"/>
      <c r="G42" s="95"/>
      <c r="H42" s="95"/>
    </row>
    <row r="43" customFormat="false" ht="15" hidden="false" customHeight="false" outlineLevel="0" collapsed="false">
      <c r="A43" s="97" t="s">
        <v>133</v>
      </c>
      <c r="B43" s="97"/>
      <c r="C43" s="97"/>
      <c r="D43" s="99" t="n">
        <v>0</v>
      </c>
      <c r="E43" s="95"/>
      <c r="F43" s="95"/>
      <c r="G43" s="95"/>
      <c r="H43" s="95"/>
    </row>
    <row r="44" customFormat="false" ht="15" hidden="false" customHeight="false" outlineLevel="0" collapsed="false">
      <c r="A44" s="97"/>
      <c r="B44" s="97"/>
      <c r="C44" s="97"/>
      <c r="D44" s="99" t="n">
        <v>1</v>
      </c>
      <c r="E44" s="95"/>
      <c r="F44" s="95"/>
      <c r="G44" s="95"/>
      <c r="H44" s="95"/>
    </row>
    <row r="45" customFormat="false" ht="15" hidden="false" customHeight="false" outlineLevel="0" collapsed="false">
      <c r="A45" s="97"/>
      <c r="B45" s="97"/>
      <c r="C45" s="97"/>
      <c r="D45" s="99" t="n">
        <v>2</v>
      </c>
      <c r="E45" s="95"/>
      <c r="F45" s="95"/>
      <c r="G45" s="95"/>
      <c r="H45" s="95"/>
    </row>
    <row r="46" customFormat="false" ht="15" hidden="false" customHeight="false" outlineLevel="0" collapsed="false">
      <c r="A46" s="97"/>
      <c r="B46" s="97"/>
      <c r="C46" s="97"/>
      <c r="D46" s="99" t="n">
        <v>3</v>
      </c>
      <c r="E46" s="95"/>
      <c r="F46" s="95"/>
      <c r="G46" s="95"/>
      <c r="H46" s="95"/>
    </row>
    <row r="47" customFormat="false" ht="15" hidden="false" customHeight="false" outlineLevel="0" collapsed="false">
      <c r="A47" s="97"/>
      <c r="B47" s="97"/>
      <c r="C47" s="97"/>
      <c r="D47" s="99" t="n">
        <v>4</v>
      </c>
      <c r="E47" s="95"/>
      <c r="F47" s="95"/>
      <c r="G47" s="95"/>
      <c r="H47" s="95"/>
    </row>
    <row r="48" customFormat="false" ht="15" hidden="false" customHeight="false" outlineLevel="0" collapsed="false">
      <c r="A48" s="97"/>
      <c r="B48" s="97"/>
      <c r="C48" s="97"/>
      <c r="D48" s="99" t="n">
        <v>5</v>
      </c>
      <c r="E48" s="95"/>
      <c r="F48" s="95"/>
      <c r="G48" s="95"/>
      <c r="H48" s="95"/>
    </row>
    <row r="49" customFormat="false" ht="15" hidden="false" customHeight="false" outlineLevel="0" collapsed="false">
      <c r="A49" s="97"/>
      <c r="B49" s="97"/>
      <c r="C49" s="97"/>
      <c r="D49" s="99" t="n">
        <v>6</v>
      </c>
      <c r="E49" s="95"/>
      <c r="F49" s="95"/>
      <c r="G49" s="95"/>
      <c r="H49" s="95"/>
    </row>
    <row r="50" customFormat="false" ht="15" hidden="false" customHeight="false" outlineLevel="0" collapsed="false">
      <c r="A50" s="97"/>
      <c r="B50" s="97"/>
      <c r="C50" s="97"/>
      <c r="D50" s="99" t="n">
        <v>7</v>
      </c>
      <c r="E50" s="95"/>
      <c r="F50" s="95"/>
      <c r="G50" s="95"/>
      <c r="H50" s="95"/>
    </row>
    <row r="51" customFormat="false" ht="15" hidden="false" customHeight="false" outlineLevel="0" collapsed="false">
      <c r="A51" s="97"/>
      <c r="B51" s="97"/>
      <c r="C51" s="97"/>
      <c r="D51" s="99" t="n">
        <v>8</v>
      </c>
      <c r="E51" s="95"/>
      <c r="F51" s="95"/>
      <c r="G51" s="95"/>
      <c r="H51" s="95"/>
    </row>
    <row r="52" customFormat="false" ht="15" hidden="false" customHeight="false" outlineLevel="0" collapsed="false">
      <c r="A52" s="38" t="s">
        <v>137</v>
      </c>
      <c r="B52" s="38"/>
      <c r="C52" s="38"/>
      <c r="D52" s="100" t="n">
        <v>0</v>
      </c>
      <c r="E52" s="101"/>
      <c r="F52" s="95"/>
      <c r="G52" s="95"/>
      <c r="H52" s="95"/>
    </row>
    <row r="53" customFormat="false" ht="15" hidden="false" customHeight="false" outlineLevel="0" collapsed="false">
      <c r="A53" s="38"/>
      <c r="B53" s="38"/>
      <c r="C53" s="38"/>
      <c r="D53" s="100" t="n">
        <v>1</v>
      </c>
      <c r="E53" s="101"/>
      <c r="F53" s="95"/>
      <c r="G53" s="95"/>
      <c r="H53" s="95"/>
    </row>
    <row r="54" customFormat="false" ht="15" hidden="false" customHeight="false" outlineLevel="0" collapsed="false">
      <c r="A54" s="38"/>
      <c r="B54" s="38"/>
      <c r="C54" s="38"/>
      <c r="D54" s="100" t="n">
        <v>2</v>
      </c>
      <c r="E54" s="101"/>
      <c r="F54" s="95"/>
      <c r="G54" s="95"/>
      <c r="H54" s="95"/>
    </row>
    <row r="55" customFormat="false" ht="15" hidden="false" customHeight="false" outlineLevel="0" collapsed="false">
      <c r="A55" s="38"/>
      <c r="B55" s="38"/>
      <c r="C55" s="38"/>
      <c r="D55" s="100" t="n">
        <v>3</v>
      </c>
      <c r="E55" s="101"/>
      <c r="F55" s="95"/>
      <c r="G55" s="95"/>
      <c r="H55" s="95"/>
    </row>
    <row r="56" customFormat="false" ht="15" hidden="false" customHeight="false" outlineLevel="0" collapsed="false">
      <c r="A56" s="38"/>
      <c r="B56" s="38"/>
      <c r="C56" s="38"/>
      <c r="D56" s="100" t="n">
        <v>4</v>
      </c>
      <c r="E56" s="101"/>
      <c r="F56" s="95"/>
      <c r="G56" s="95"/>
      <c r="H56" s="95"/>
    </row>
    <row r="57" customFormat="false" ht="15" hidden="false" customHeight="false" outlineLevel="0" collapsed="false">
      <c r="A57" s="38"/>
      <c r="B57" s="38"/>
      <c r="C57" s="38"/>
      <c r="D57" s="100" t="n">
        <v>5</v>
      </c>
      <c r="E57" s="101" t="n">
        <v>2</v>
      </c>
      <c r="F57" s="95"/>
      <c r="G57" s="95"/>
      <c r="H57" s="95"/>
    </row>
    <row r="58" customFormat="false" ht="15" hidden="false" customHeight="false" outlineLevel="0" collapsed="false">
      <c r="A58" s="38"/>
      <c r="B58" s="38"/>
      <c r="C58" s="38"/>
      <c r="D58" s="100" t="n">
        <v>6</v>
      </c>
      <c r="E58" s="101"/>
      <c r="F58" s="95"/>
      <c r="G58" s="95" t="n">
        <v>2</v>
      </c>
      <c r="H58" s="95"/>
    </row>
    <row r="59" customFormat="false" ht="15" hidden="false" customHeight="false" outlineLevel="0" collapsed="false">
      <c r="A59" s="38"/>
      <c r="B59" s="38"/>
      <c r="C59" s="38"/>
      <c r="D59" s="100" t="n">
        <v>7</v>
      </c>
      <c r="E59" s="101"/>
      <c r="F59" s="95"/>
      <c r="G59" s="95"/>
      <c r="H59" s="95"/>
    </row>
    <row r="60" customFormat="false" ht="15" hidden="false" customHeight="false" outlineLevel="0" collapsed="false">
      <c r="A60" s="38"/>
      <c r="B60" s="38"/>
      <c r="C60" s="38"/>
      <c r="D60" s="100" t="s">
        <v>163</v>
      </c>
      <c r="E60" s="101" t="n">
        <v>12</v>
      </c>
      <c r="F60" s="95"/>
      <c r="G60" s="95"/>
      <c r="H60" s="95"/>
    </row>
    <row r="61" customFormat="false" ht="15" hidden="false" customHeight="false" outlineLevel="0" collapsed="false">
      <c r="A61" s="97" t="s">
        <v>141</v>
      </c>
      <c r="B61" s="97"/>
      <c r="C61" s="97"/>
      <c r="D61" s="99" t="n">
        <v>0</v>
      </c>
      <c r="E61" s="95"/>
      <c r="F61" s="95"/>
      <c r="G61" s="95"/>
      <c r="H61" s="95"/>
    </row>
    <row r="62" customFormat="false" ht="15" hidden="false" customHeight="false" outlineLevel="0" collapsed="false">
      <c r="A62" s="97"/>
      <c r="B62" s="97"/>
      <c r="C62" s="97"/>
      <c r="D62" s="99" t="n">
        <v>1</v>
      </c>
      <c r="E62" s="95"/>
      <c r="F62" s="95"/>
      <c r="G62" s="95"/>
      <c r="H62" s="95"/>
    </row>
    <row r="63" customFormat="false" ht="15" hidden="false" customHeight="false" outlineLevel="0" collapsed="false">
      <c r="A63" s="97"/>
      <c r="B63" s="97"/>
      <c r="C63" s="97"/>
      <c r="D63" s="99" t="n">
        <v>2</v>
      </c>
      <c r="E63" s="95"/>
      <c r="F63" s="95"/>
      <c r="G63" s="95"/>
      <c r="H63" s="95"/>
    </row>
    <row r="64" customFormat="false" ht="15" hidden="false" customHeight="false" outlineLevel="0" collapsed="false">
      <c r="A64" s="97"/>
      <c r="B64" s="97"/>
      <c r="C64" s="97"/>
      <c r="D64" s="99" t="n">
        <v>3</v>
      </c>
      <c r="E64" s="95"/>
      <c r="F64" s="95"/>
      <c r="G64" s="95"/>
      <c r="H64" s="95"/>
    </row>
    <row r="65" customFormat="false" ht="15" hidden="false" customHeight="false" outlineLevel="0" collapsed="false">
      <c r="A65" s="97"/>
      <c r="B65" s="97"/>
      <c r="C65" s="97"/>
      <c r="D65" s="99" t="n">
        <v>4</v>
      </c>
      <c r="E65" s="95"/>
      <c r="F65" s="95"/>
      <c r="G65" s="95"/>
      <c r="H65" s="95"/>
    </row>
    <row r="66" customFormat="false" ht="15" hidden="false" customHeight="false" outlineLevel="0" collapsed="false">
      <c r="A66" s="97"/>
      <c r="B66" s="97"/>
      <c r="C66" s="97"/>
      <c r="D66" s="99" t="n">
        <v>5</v>
      </c>
      <c r="E66" s="95"/>
      <c r="F66" s="95"/>
      <c r="G66" s="95"/>
      <c r="H66" s="95"/>
    </row>
    <row r="67" customFormat="false" ht="15" hidden="false" customHeight="false" outlineLevel="0" collapsed="false">
      <c r="A67" s="97"/>
      <c r="B67" s="97"/>
      <c r="C67" s="97"/>
      <c r="D67" s="99" t="n">
        <v>6</v>
      </c>
      <c r="E67" s="95"/>
      <c r="F67" s="95"/>
      <c r="G67" s="95"/>
      <c r="H67" s="95"/>
    </row>
    <row r="68" customFormat="false" ht="15" hidden="false" customHeight="false" outlineLevel="0" collapsed="false">
      <c r="A68" s="97"/>
      <c r="B68" s="97"/>
      <c r="C68" s="97"/>
      <c r="D68" s="99" t="n">
        <v>7</v>
      </c>
      <c r="E68" s="95"/>
      <c r="F68" s="95"/>
      <c r="G68" s="95"/>
      <c r="H68" s="95"/>
    </row>
    <row r="69" customFormat="false" ht="15" hidden="false" customHeight="false" outlineLevel="0" collapsed="false">
      <c r="A69" s="97"/>
      <c r="B69" s="97"/>
      <c r="C69" s="97"/>
      <c r="D69" s="99" t="n">
        <v>8</v>
      </c>
      <c r="E69" s="95"/>
      <c r="F69" s="95"/>
      <c r="G69" s="95"/>
      <c r="H69" s="95"/>
    </row>
    <row r="70" customFormat="false" ht="15" hidden="false" customHeight="false" outlineLevel="0" collapsed="false">
      <c r="A70" s="97"/>
      <c r="B70" s="97"/>
      <c r="C70" s="97"/>
      <c r="D70" s="99" t="n">
        <v>9</v>
      </c>
      <c r="E70" s="95"/>
      <c r="F70" s="95"/>
      <c r="G70" s="95"/>
      <c r="H70" s="95"/>
    </row>
    <row r="71" customFormat="false" ht="15" hidden="false" customHeight="false" outlineLevel="0" collapsed="false">
      <c r="A71" s="97"/>
      <c r="B71" s="97"/>
      <c r="C71" s="97"/>
      <c r="D71" s="99" t="n">
        <v>10</v>
      </c>
      <c r="E71" s="95"/>
      <c r="F71" s="95"/>
      <c r="G71" s="95"/>
      <c r="H71" s="95"/>
    </row>
    <row r="72" customFormat="false" ht="15" hidden="false" customHeight="false" outlineLevel="0" collapsed="false">
      <c r="A72" s="97" t="s">
        <v>143</v>
      </c>
      <c r="B72" s="97"/>
      <c r="C72" s="97"/>
      <c r="D72" s="99" t="n">
        <v>0</v>
      </c>
      <c r="E72" s="95"/>
      <c r="F72" s="95"/>
      <c r="G72" s="95"/>
      <c r="H72" s="95"/>
    </row>
    <row r="73" customFormat="false" ht="15" hidden="false" customHeight="false" outlineLevel="0" collapsed="false">
      <c r="A73" s="97"/>
      <c r="B73" s="97"/>
      <c r="C73" s="97"/>
      <c r="D73" s="99" t="n">
        <v>1</v>
      </c>
      <c r="E73" s="95"/>
      <c r="F73" s="95"/>
      <c r="G73" s="95"/>
      <c r="H73" s="95"/>
    </row>
    <row r="74" customFormat="false" ht="15" hidden="false" customHeight="false" outlineLevel="0" collapsed="false">
      <c r="A74" s="97"/>
      <c r="B74" s="97"/>
      <c r="C74" s="97"/>
      <c r="D74" s="99" t="n">
        <v>2</v>
      </c>
      <c r="E74" s="95"/>
      <c r="F74" s="95"/>
      <c r="G74" s="95"/>
      <c r="H74" s="95"/>
    </row>
    <row r="75" customFormat="false" ht="15" hidden="false" customHeight="false" outlineLevel="0" collapsed="false">
      <c r="A75" s="97"/>
      <c r="B75" s="97"/>
      <c r="C75" s="97"/>
      <c r="D75" s="99" t="n">
        <v>3</v>
      </c>
      <c r="E75" s="95"/>
      <c r="F75" s="95"/>
      <c r="G75" s="95"/>
      <c r="H75" s="95"/>
    </row>
    <row r="76" customFormat="false" ht="15" hidden="false" customHeight="false" outlineLevel="0" collapsed="false">
      <c r="A76" s="97"/>
      <c r="B76" s="97"/>
      <c r="C76" s="97"/>
      <c r="D76" s="99" t="n">
        <v>4</v>
      </c>
      <c r="E76" s="95"/>
      <c r="F76" s="95"/>
      <c r="G76" s="95"/>
      <c r="H76" s="95"/>
    </row>
    <row r="77" customFormat="false" ht="15" hidden="false" customHeight="false" outlineLevel="0" collapsed="false">
      <c r="A77" s="97"/>
      <c r="B77" s="97"/>
      <c r="C77" s="97"/>
      <c r="D77" s="99" t="n">
        <v>5</v>
      </c>
      <c r="E77" s="95"/>
      <c r="F77" s="95"/>
      <c r="G77" s="95"/>
      <c r="H77" s="95"/>
    </row>
    <row r="78" customFormat="false" ht="15" hidden="false" customHeight="false" outlineLevel="0" collapsed="false">
      <c r="A78" s="97"/>
      <c r="B78" s="97"/>
      <c r="C78" s="97"/>
      <c r="D78" s="99" t="n">
        <v>6</v>
      </c>
      <c r="E78" s="95"/>
      <c r="F78" s="95"/>
      <c r="G78" s="95"/>
      <c r="H78" s="95"/>
    </row>
    <row r="79" customFormat="false" ht="15" hidden="false" customHeight="false" outlineLevel="0" collapsed="false">
      <c r="A79" s="97"/>
      <c r="B79" s="97"/>
      <c r="C79" s="97"/>
      <c r="D79" s="99" t="n">
        <v>7</v>
      </c>
      <c r="E79" s="95"/>
      <c r="F79" s="95"/>
      <c r="G79" s="95"/>
      <c r="H79" s="95"/>
    </row>
    <row r="80" customFormat="false" ht="15" hidden="false" customHeight="false" outlineLevel="0" collapsed="false">
      <c r="A80" s="97"/>
      <c r="B80" s="97"/>
      <c r="C80" s="97"/>
      <c r="D80" s="99" t="n">
        <v>8</v>
      </c>
      <c r="E80" s="95"/>
      <c r="F80" s="95"/>
      <c r="G80" s="95"/>
      <c r="H80" s="95"/>
    </row>
    <row r="81" customFormat="false" ht="15" hidden="false" customHeight="false" outlineLevel="0" collapsed="false">
      <c r="A81" s="97"/>
      <c r="B81" s="97"/>
      <c r="C81" s="97"/>
      <c r="D81" s="99" t="n">
        <v>9</v>
      </c>
      <c r="E81" s="95"/>
      <c r="F81" s="95"/>
      <c r="G81" s="95"/>
      <c r="H81" s="95"/>
    </row>
    <row r="82" customFormat="false" ht="15" hidden="false" customHeight="false" outlineLevel="0" collapsed="false">
      <c r="A82" s="97"/>
      <c r="B82" s="97"/>
      <c r="C82" s="97"/>
      <c r="D82" s="99" t="n">
        <v>10</v>
      </c>
      <c r="E82" s="95"/>
      <c r="F82" s="95"/>
      <c r="G82" s="95"/>
      <c r="H82" s="95"/>
    </row>
    <row r="83" customFormat="false" ht="15" hidden="false" customHeight="false" outlineLevel="0" collapsed="false">
      <c r="A83" s="97"/>
      <c r="B83" s="97"/>
      <c r="C83" s="97"/>
      <c r="D83" s="99" t="n">
        <v>11</v>
      </c>
      <c r="E83" s="95"/>
      <c r="F83" s="95"/>
      <c r="G83" s="95"/>
      <c r="H83" s="95"/>
    </row>
    <row r="84" customFormat="false" ht="15" hidden="false" customHeight="false" outlineLevel="0" collapsed="false">
      <c r="A84" s="97"/>
      <c r="B84" s="97"/>
      <c r="C84" s="97"/>
      <c r="D84" s="99" t="n">
        <v>12</v>
      </c>
      <c r="E84" s="95"/>
      <c r="F84" s="95"/>
      <c r="G84" s="95"/>
      <c r="H84" s="95"/>
    </row>
    <row r="85" customFormat="false" ht="15" hidden="false" customHeight="false" outlineLevel="0" collapsed="false">
      <c r="A85" s="97" t="s">
        <v>147</v>
      </c>
      <c r="B85" s="97"/>
      <c r="C85" s="97"/>
      <c r="D85" s="99" t="n">
        <v>0</v>
      </c>
      <c r="E85" s="95"/>
      <c r="F85" s="95"/>
      <c r="G85" s="95"/>
      <c r="H85" s="95"/>
    </row>
    <row r="86" customFormat="false" ht="15" hidden="false" customHeight="false" outlineLevel="0" collapsed="false">
      <c r="A86" s="97"/>
      <c r="B86" s="97"/>
      <c r="C86" s="97"/>
      <c r="D86" s="99" t="n">
        <v>1</v>
      </c>
      <c r="E86" s="95"/>
      <c r="F86" s="95"/>
      <c r="G86" s="95"/>
      <c r="H86" s="95"/>
    </row>
    <row r="87" customFormat="false" ht="15" hidden="false" customHeight="false" outlineLevel="0" collapsed="false">
      <c r="A87" s="97"/>
      <c r="B87" s="97"/>
      <c r="C87" s="97"/>
      <c r="D87" s="99" t="n">
        <v>2</v>
      </c>
      <c r="E87" s="95"/>
      <c r="F87" s="95"/>
      <c r="G87" s="95"/>
      <c r="H87" s="95"/>
    </row>
    <row r="88" customFormat="false" ht="15" hidden="false" customHeight="false" outlineLevel="0" collapsed="false">
      <c r="A88" s="97"/>
      <c r="B88" s="97"/>
      <c r="C88" s="97"/>
      <c r="D88" s="99" t="n">
        <v>3</v>
      </c>
      <c r="E88" s="95"/>
      <c r="F88" s="95"/>
      <c r="G88" s="95"/>
      <c r="H88" s="95"/>
    </row>
    <row r="89" customFormat="false" ht="15" hidden="false" customHeight="false" outlineLevel="0" collapsed="false">
      <c r="A89" s="97"/>
      <c r="B89" s="97"/>
      <c r="C89" s="97"/>
      <c r="D89" s="99" t="n">
        <v>4</v>
      </c>
      <c r="E89" s="95"/>
      <c r="F89" s="95"/>
      <c r="G89" s="95"/>
      <c r="H89" s="95"/>
    </row>
    <row r="90" customFormat="false" ht="15" hidden="false" customHeight="false" outlineLevel="0" collapsed="false">
      <c r="A90" s="97"/>
      <c r="B90" s="97"/>
      <c r="C90" s="97"/>
      <c r="D90" s="99" t="n">
        <v>5</v>
      </c>
      <c r="E90" s="95"/>
      <c r="F90" s="95"/>
      <c r="G90" s="95"/>
      <c r="H90" s="95"/>
    </row>
    <row r="91" customFormat="false" ht="15" hidden="false" customHeight="false" outlineLevel="0" collapsed="false">
      <c r="A91" s="97"/>
      <c r="B91" s="97"/>
      <c r="C91" s="97"/>
      <c r="D91" s="99" t="n">
        <v>6</v>
      </c>
      <c r="E91" s="95"/>
      <c r="F91" s="95"/>
      <c r="G91" s="95"/>
      <c r="H91" s="95"/>
    </row>
    <row r="92" customFormat="false" ht="15" hidden="false" customHeight="false" outlineLevel="0" collapsed="false">
      <c r="A92" s="97"/>
      <c r="B92" s="97"/>
      <c r="C92" s="97"/>
      <c r="D92" s="99" t="n">
        <v>7</v>
      </c>
      <c r="E92" s="95"/>
      <c r="F92" s="95"/>
      <c r="G92" s="95"/>
      <c r="H92" s="95"/>
    </row>
    <row r="93" customFormat="false" ht="15" hidden="false" customHeight="false" outlineLevel="0" collapsed="false">
      <c r="A93" s="97"/>
      <c r="B93" s="97"/>
      <c r="C93" s="97"/>
      <c r="D93" s="99" t="n">
        <v>8</v>
      </c>
      <c r="E93" s="95"/>
      <c r="F93" s="95"/>
      <c r="G93" s="95"/>
      <c r="H93" s="95"/>
    </row>
    <row r="94" customFormat="false" ht="15" hidden="false" customHeight="false" outlineLevel="0" collapsed="false">
      <c r="A94" s="97"/>
      <c r="B94" s="97"/>
      <c r="C94" s="97"/>
      <c r="D94" s="99" t="n">
        <v>9</v>
      </c>
      <c r="E94" s="95"/>
      <c r="F94" s="95"/>
      <c r="G94" s="95"/>
      <c r="H94" s="95"/>
    </row>
    <row r="95" customFormat="false" ht="15" hidden="false" customHeight="false" outlineLevel="0" collapsed="false">
      <c r="A95" s="97"/>
      <c r="B95" s="97"/>
      <c r="C95" s="97"/>
      <c r="D95" s="99" t="n">
        <v>10</v>
      </c>
      <c r="E95" s="95"/>
      <c r="F95" s="95"/>
      <c r="G95" s="95"/>
      <c r="H95" s="95"/>
    </row>
    <row r="96" customFormat="false" ht="15" hidden="false" customHeight="false" outlineLevel="0" collapsed="false">
      <c r="A96" s="97"/>
      <c r="B96" s="97"/>
      <c r="C96" s="97"/>
      <c r="D96" s="99" t="n">
        <v>11</v>
      </c>
      <c r="E96" s="95"/>
      <c r="F96" s="95"/>
      <c r="G96" s="95"/>
      <c r="H96" s="95"/>
    </row>
    <row r="97" customFormat="false" ht="15" hidden="false" customHeight="false" outlineLevel="0" collapsed="false">
      <c r="A97" s="97"/>
      <c r="B97" s="97"/>
      <c r="C97" s="97"/>
      <c r="D97" s="99" t="n">
        <v>12</v>
      </c>
      <c r="E97" s="95"/>
      <c r="F97" s="95"/>
      <c r="G97" s="95"/>
      <c r="H97" s="95"/>
    </row>
    <row r="99" customFormat="false" ht="15" hidden="false" customHeight="false" outlineLevel="0" collapsed="false">
      <c r="A99" s="16" t="s">
        <v>164</v>
      </c>
    </row>
    <row r="101" customFormat="false" ht="15" hidden="false" customHeight="false" outlineLevel="0" collapsed="false">
      <c r="A101" s="93" t="s">
        <v>165</v>
      </c>
      <c r="B101" s="93"/>
      <c r="C101" s="93" t="s">
        <v>166</v>
      </c>
    </row>
    <row r="102" customFormat="false" ht="15" hidden="false" customHeight="false" outlineLevel="0" collapsed="false">
      <c r="A102" s="93"/>
      <c r="B102" s="93"/>
      <c r="C102" s="93"/>
    </row>
    <row r="103" customFormat="false" ht="15" hidden="false" customHeight="false" outlineLevel="0" collapsed="false">
      <c r="A103" s="102" t="s">
        <v>167</v>
      </c>
      <c r="B103" s="102"/>
      <c r="C103" s="95"/>
    </row>
    <row r="104" customFormat="false" ht="15" hidden="false" customHeight="false" outlineLevel="0" collapsed="false">
      <c r="A104" s="102" t="s">
        <v>168</v>
      </c>
      <c r="B104" s="102"/>
      <c r="C104" s="95"/>
    </row>
    <row r="105" customFormat="false" ht="15" hidden="false" customHeight="false" outlineLevel="0" collapsed="false">
      <c r="A105" s="102" t="s">
        <v>169</v>
      </c>
      <c r="B105" s="102"/>
      <c r="C105" s="95" t="n">
        <v>1</v>
      </c>
    </row>
    <row r="106" customFormat="false" ht="15" hidden="false" customHeight="false" outlineLevel="0" collapsed="false">
      <c r="A106" s="102" t="s">
        <v>170</v>
      </c>
      <c r="B106" s="102"/>
      <c r="C106" s="95" t="n">
        <v>1</v>
      </c>
    </row>
    <row r="107" customFormat="false" ht="15" hidden="false" customHeight="false" outlineLevel="0" collapsed="false">
      <c r="A107" s="102" t="s">
        <v>171</v>
      </c>
      <c r="B107" s="102"/>
      <c r="C107" s="95"/>
    </row>
    <row r="110" customFormat="false" ht="21" hidden="false" customHeight="true" outlineLevel="0" collapsed="false"/>
    <row r="113" customFormat="false" ht="15" hidden="false" customHeight="false" outlineLevel="0" collapsed="false">
      <c r="A113" s="103"/>
      <c r="B113" s="48"/>
    </row>
    <row r="137" customFormat="false" ht="15" hidden="false" customHeight="true" outlineLevel="0" collapsed="false"/>
  </sheetData>
  <mergeCells count="38">
    <mergeCell ref="A1:K1"/>
    <mergeCell ref="C3:E3"/>
    <mergeCell ref="J3:M3"/>
    <mergeCell ref="A5:B5"/>
    <mergeCell ref="A6:B6"/>
    <mergeCell ref="A7:B7"/>
    <mergeCell ref="A8:B8"/>
    <mergeCell ref="A9:B9"/>
    <mergeCell ref="A10:B10"/>
    <mergeCell ref="A11:B11"/>
    <mergeCell ref="A17:B18"/>
    <mergeCell ref="C17:D17"/>
    <mergeCell ref="E17:F17"/>
    <mergeCell ref="A19:B19"/>
    <mergeCell ref="A20:B20"/>
    <mergeCell ref="A21:B21"/>
    <mergeCell ref="A22:B22"/>
    <mergeCell ref="A23:B23"/>
    <mergeCell ref="A24:B24"/>
    <mergeCell ref="A25:B25"/>
    <mergeCell ref="A29:C30"/>
    <mergeCell ref="D29:D30"/>
    <mergeCell ref="E29:F29"/>
    <mergeCell ref="G29:H29"/>
    <mergeCell ref="A31:C36"/>
    <mergeCell ref="A37:C42"/>
    <mergeCell ref="A43:C51"/>
    <mergeCell ref="A52:C60"/>
    <mergeCell ref="A61:C71"/>
    <mergeCell ref="A72:C84"/>
    <mergeCell ref="A85:C97"/>
    <mergeCell ref="A101:B102"/>
    <mergeCell ref="C101:C102"/>
    <mergeCell ref="A103:B103"/>
    <mergeCell ref="A104:B104"/>
    <mergeCell ref="A105:B105"/>
    <mergeCell ref="A106:B106"/>
    <mergeCell ref="A107:B107"/>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N20"/>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8" activeCellId="0" sqref="B8"/>
    </sheetView>
  </sheetViews>
  <sheetFormatPr defaultColWidth="8.6875" defaultRowHeight="12.75" zeroHeight="false" outlineLevelRow="0" outlineLevelCol="0"/>
  <cols>
    <col collapsed="false" customWidth="true" hidden="false" outlineLevel="0" max="1" min="1" style="0" width="6.28"/>
    <col collapsed="false" customWidth="true" hidden="false" outlineLevel="0" max="2" min="2" style="0" width="17.29"/>
    <col collapsed="false" customWidth="true" hidden="false" outlineLevel="0" max="3" min="3" style="0" width="8.14"/>
  </cols>
  <sheetData>
    <row r="1" customFormat="false" ht="12.75" hidden="false" customHeight="false" outlineLevel="0" collapsed="false">
      <c r="A1" s="114" t="s">
        <v>728</v>
      </c>
    </row>
    <row r="3" customFormat="false" ht="13.5" hidden="false" customHeight="false" outlineLevel="0" collapsed="false"/>
    <row r="4" customFormat="false" ht="15.75" hidden="false" customHeight="false" outlineLevel="0" collapsed="false">
      <c r="A4" s="104" t="s">
        <v>729</v>
      </c>
      <c r="B4" s="48" t="s">
        <v>730</v>
      </c>
      <c r="K4" s="15" t="s">
        <v>16</v>
      </c>
      <c r="L4" s="15"/>
      <c r="M4" s="15"/>
      <c r="N4" s="15"/>
    </row>
    <row r="5" customFormat="false" ht="15" hidden="false" customHeight="false" outlineLevel="0" collapsed="false">
      <c r="K5" s="17"/>
      <c r="L5" s="18"/>
      <c r="M5" s="18"/>
      <c r="N5" s="19"/>
    </row>
    <row r="6" customFormat="false" ht="15" hidden="false" customHeight="false" outlineLevel="0" collapsed="false">
      <c r="B6" s="504"/>
      <c r="C6" s="504"/>
      <c r="D6" s="505" t="s">
        <v>731</v>
      </c>
      <c r="E6" s="505"/>
      <c r="F6" s="505"/>
      <c r="G6" s="505"/>
      <c r="H6" s="505"/>
      <c r="K6" s="20"/>
      <c r="L6" s="21"/>
      <c r="M6" s="22" t="s">
        <v>18</v>
      </c>
      <c r="N6" s="23"/>
    </row>
    <row r="7" customFormat="false" ht="15" hidden="false" customHeight="false" outlineLevel="0" collapsed="false">
      <c r="B7" s="504"/>
      <c r="C7" s="504"/>
      <c r="D7" s="506" t="n">
        <v>0.25</v>
      </c>
      <c r="E7" s="506" t="n">
        <v>0.277777777777778</v>
      </c>
      <c r="F7" s="506" t="n">
        <v>0.305555555555555</v>
      </c>
      <c r="G7" s="506" t="n">
        <v>0.319444444444444</v>
      </c>
      <c r="H7" s="506" t="n">
        <v>0.333333333333333</v>
      </c>
      <c r="K7" s="20"/>
      <c r="L7" s="27"/>
      <c r="M7" s="22" t="s">
        <v>20</v>
      </c>
      <c r="N7" s="23"/>
    </row>
    <row r="8" customFormat="false" ht="15" hidden="false" customHeight="true" outlineLevel="0" collapsed="false">
      <c r="B8" s="507" t="s">
        <v>732</v>
      </c>
      <c r="C8" s="508" t="n">
        <v>0.5</v>
      </c>
      <c r="D8" s="509" t="n">
        <v>2.34181818181818</v>
      </c>
      <c r="E8" s="509" t="n">
        <v>2.10658307210031</v>
      </c>
      <c r="F8" s="509" t="n">
        <v>1.92</v>
      </c>
      <c r="G8" s="509" t="n">
        <v>1.83193078108332</v>
      </c>
      <c r="H8" s="509" t="n">
        <v>1.5</v>
      </c>
      <c r="K8" s="20"/>
      <c r="L8" s="28"/>
      <c r="M8" s="22" t="s">
        <v>22</v>
      </c>
      <c r="N8" s="23"/>
    </row>
    <row r="9" customFormat="false" ht="15.75" hidden="false" customHeight="false" outlineLevel="0" collapsed="false">
      <c r="B9" s="507"/>
      <c r="C9" s="508" t="n">
        <v>0.541666666666667</v>
      </c>
      <c r="D9" s="509" t="n">
        <v>2.68317746151612</v>
      </c>
      <c r="E9" s="509" t="n">
        <v>2.28213166144201</v>
      </c>
      <c r="F9" s="509" t="n">
        <v>2.07664640952499</v>
      </c>
      <c r="G9" s="509" t="n">
        <v>1.98459167950693</v>
      </c>
      <c r="H9" s="509" t="n">
        <v>1.90272727272727</v>
      </c>
      <c r="K9" s="29"/>
      <c r="L9" s="30"/>
      <c r="M9" s="30"/>
      <c r="N9" s="31"/>
    </row>
    <row r="10" customFormat="false" ht="15" hidden="false" customHeight="false" outlineLevel="0" collapsed="false">
      <c r="B10" s="507"/>
      <c r="C10" s="508" t="n">
        <v>0.583333333333333</v>
      </c>
      <c r="D10" s="509" t="n">
        <v>3.02453674121406</v>
      </c>
      <c r="E10" s="509" t="n">
        <v>2.54448426091921</v>
      </c>
      <c r="F10" s="509" t="n">
        <v>2.23638844102691</v>
      </c>
      <c r="G10" s="509" t="n">
        <v>2.13725257793054</v>
      </c>
      <c r="H10" s="509" t="n">
        <v>2.04909090909091</v>
      </c>
    </row>
    <row r="11" customFormat="false" ht="15" hidden="false" customHeight="false" outlineLevel="0" collapsed="false">
      <c r="B11" s="507"/>
      <c r="C11" s="508" t="n">
        <v>0.625</v>
      </c>
      <c r="D11" s="509" t="n">
        <v>3.365896020912</v>
      </c>
      <c r="E11" s="509" t="n">
        <v>2.85155407773894</v>
      </c>
      <c r="F11" s="509" t="n">
        <v>2.43682131013794</v>
      </c>
      <c r="G11" s="509" t="n">
        <v>2.28991347635415</v>
      </c>
      <c r="H11" s="509" t="n">
        <v>2.19545454545455</v>
      </c>
    </row>
    <row r="12" customFormat="false" ht="15" hidden="false" customHeight="false" outlineLevel="0" collapsed="false">
      <c r="B12" s="507"/>
      <c r="C12" s="508" t="n">
        <v>0.666666666666667</v>
      </c>
      <c r="D12" s="509" t="n">
        <v>3.70725530060993</v>
      </c>
      <c r="E12" s="509" t="n">
        <v>3.15862389455868</v>
      </c>
      <c r="F12" s="509" t="n">
        <v>2.71624227578427</v>
      </c>
      <c r="G12" s="509" t="n">
        <v>2.51806104330499</v>
      </c>
      <c r="H12" s="509" t="n">
        <v>2.34181818181818</v>
      </c>
    </row>
    <row r="13" customFormat="false" ht="15" hidden="false" customHeight="false" outlineLevel="0" collapsed="false">
      <c r="B13" s="507"/>
      <c r="C13" s="508" t="n">
        <v>0.708333333333333</v>
      </c>
      <c r="D13" s="509" t="n">
        <v>4.04861458030787</v>
      </c>
      <c r="E13" s="509" t="n">
        <v>3.46569371137841</v>
      </c>
      <c r="F13" s="509" t="n">
        <v>2.9956632414306</v>
      </c>
      <c r="G13" s="509" t="n">
        <v>2.78509568192137</v>
      </c>
      <c r="H13" s="509" t="n">
        <v>2.59783764159164</v>
      </c>
    </row>
    <row r="14" customFormat="false" ht="15" hidden="false" customHeight="false" outlineLevel="0" collapsed="false">
      <c r="B14" s="507"/>
      <c r="C14" s="508" t="n">
        <v>0.75</v>
      </c>
      <c r="D14" s="509" t="n">
        <v>4.38997386000581</v>
      </c>
      <c r="E14" s="509" t="n">
        <v>3.77276352819814</v>
      </c>
      <c r="F14" s="509" t="n">
        <v>3.27508420707694</v>
      </c>
      <c r="G14" s="509" t="n">
        <v>3.05213032053775</v>
      </c>
      <c r="H14" s="509" t="n">
        <v>2.85385710136509</v>
      </c>
    </row>
    <row r="15" customFormat="false" ht="15" hidden="false" customHeight="false" outlineLevel="0" collapsed="false">
      <c r="B15" s="507"/>
      <c r="C15" s="508" t="n">
        <v>0.791666666666667</v>
      </c>
      <c r="D15" s="509" t="n">
        <v>4.73133313970375</v>
      </c>
      <c r="E15" s="509" t="n">
        <v>4.07983334501788</v>
      </c>
      <c r="F15" s="509" t="n">
        <v>3.55450517272327</v>
      </c>
      <c r="G15" s="509" t="n">
        <v>3.31916495915413</v>
      </c>
      <c r="H15" s="509" t="n">
        <v>3.10987656113854</v>
      </c>
    </row>
    <row r="16" customFormat="false" ht="15" hidden="false" customHeight="false" outlineLevel="0" collapsed="false">
      <c r="B16" s="507"/>
      <c r="C16" s="508" t="n">
        <v>0.833333333333333</v>
      </c>
      <c r="D16" s="509" t="n">
        <v>5.07269241940168</v>
      </c>
      <c r="E16" s="509" t="n">
        <v>4.38690316183761</v>
      </c>
      <c r="F16" s="509" t="n">
        <v>3.8339261383696</v>
      </c>
      <c r="G16" s="509" t="n">
        <v>3.58619959777051</v>
      </c>
      <c r="H16" s="509" t="n">
        <v>3.365896020912</v>
      </c>
    </row>
    <row r="17" customFormat="false" ht="15" hidden="false" customHeight="false" outlineLevel="0" collapsed="false">
      <c r="B17" s="507"/>
      <c r="C17" s="508" t="n">
        <v>0.875</v>
      </c>
      <c r="D17" s="509" t="n">
        <v>5.41405169909962</v>
      </c>
      <c r="E17" s="509" t="n">
        <v>4.69397297865735</v>
      </c>
      <c r="F17" s="509" t="n">
        <v>4.11334710401594</v>
      </c>
      <c r="G17" s="509" t="n">
        <v>3.85323423638689</v>
      </c>
      <c r="H17" s="509" t="n">
        <v>3.62191548068545</v>
      </c>
    </row>
    <row r="18" customFormat="false" ht="15" hidden="false" customHeight="false" outlineLevel="0" collapsed="false">
      <c r="B18" s="507"/>
      <c r="C18" s="508" t="n">
        <v>0.916666666666667</v>
      </c>
      <c r="D18" s="509" t="n">
        <v>5.75541097879756</v>
      </c>
      <c r="E18" s="509" t="n">
        <v>5.00104279547708</v>
      </c>
      <c r="F18" s="509" t="n">
        <v>4.39276806966227</v>
      </c>
      <c r="G18" s="509" t="n">
        <v>4.12026887500327</v>
      </c>
      <c r="H18" s="509" t="n">
        <v>3.8779349404589</v>
      </c>
    </row>
    <row r="19" customFormat="false" ht="15" hidden="false" customHeight="false" outlineLevel="0" collapsed="false">
      <c r="B19" s="507"/>
      <c r="C19" s="508" t="n">
        <v>0.958333333333333</v>
      </c>
      <c r="D19" s="509" t="n">
        <v>6.0967702584955</v>
      </c>
      <c r="E19" s="509" t="n">
        <v>5.30811261229681</v>
      </c>
      <c r="F19" s="509" t="n">
        <v>4.67218903530861</v>
      </c>
      <c r="G19" s="509" t="n">
        <v>4.38730351361965</v>
      </c>
      <c r="H19" s="509" t="n">
        <v>4.13395440023235</v>
      </c>
    </row>
    <row r="20" customFormat="false" ht="15" hidden="false" customHeight="false" outlineLevel="0" collapsed="false">
      <c r="B20" s="507"/>
      <c r="C20" s="508" t="n">
        <v>0.999305555555556</v>
      </c>
      <c r="D20" s="509" t="n">
        <v>6.29817223351728</v>
      </c>
      <c r="E20" s="509" t="n">
        <v>5.48928380422046</v>
      </c>
      <c r="F20" s="509" t="n">
        <v>4.83704740503994</v>
      </c>
      <c r="G20" s="509" t="n">
        <v>4.54485395040331</v>
      </c>
      <c r="H20" s="509" t="n">
        <v>4.28500588149869</v>
      </c>
    </row>
  </sheetData>
  <mergeCells count="3">
    <mergeCell ref="K4:N4"/>
    <mergeCell ref="D6:H6"/>
    <mergeCell ref="B8:B20"/>
  </mergeCells>
  <hyperlinks>
    <hyperlink ref="A1" location="'2.1.c Insumos'!A1" display="ANEXO XII – FATORES DE UTILIZAÇÃO DE PESSOAL DE OPERAÇÃO E ENCARGOS SOCI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K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8.6875" defaultRowHeight="12.75" zeroHeight="false" outlineLevelRow="0" outlineLevelCol="0"/>
  <sheetData>
    <row r="1" customFormat="false" ht="12.75" hidden="false" customHeight="false" outlineLevel="0" collapsed="false">
      <c r="A1" s="510" t="s">
        <v>733</v>
      </c>
    </row>
    <row r="3" customFormat="false" ht="15" hidden="false" customHeight="false" outlineLevel="0" collapsed="false">
      <c r="A3" s="511" t="s">
        <v>734</v>
      </c>
      <c r="B3" s="36" t="s">
        <v>735</v>
      </c>
    </row>
    <row r="4" customFormat="false" ht="13.5" hidden="false" customHeight="false" outlineLevel="0" collapsed="false"/>
    <row r="5" customFormat="false" ht="16.5" hidden="false" customHeight="false" outlineLevel="0" collapsed="false">
      <c r="C5" s="512" t="s">
        <v>736</v>
      </c>
      <c r="D5" s="512" t="s">
        <v>737</v>
      </c>
      <c r="H5" s="15" t="s">
        <v>16</v>
      </c>
      <c r="I5" s="15"/>
      <c r="J5" s="15"/>
      <c r="K5" s="15"/>
    </row>
    <row r="6" customFormat="false" ht="15" hidden="false" customHeight="false" outlineLevel="0" collapsed="false">
      <c r="A6" s="513" t="s">
        <v>738</v>
      </c>
      <c r="B6" s="513" t="s">
        <v>166</v>
      </c>
      <c r="C6" s="514" t="s">
        <v>739</v>
      </c>
      <c r="D6" s="514" t="s">
        <v>739</v>
      </c>
      <c r="H6" s="17"/>
      <c r="I6" s="18"/>
      <c r="J6" s="18"/>
      <c r="K6" s="19"/>
    </row>
    <row r="7" customFormat="false" ht="15" hidden="false" customHeight="false" outlineLevel="0" collapsed="false">
      <c r="A7" s="513" t="n">
        <v>1</v>
      </c>
      <c r="B7" s="513" t="s">
        <v>740</v>
      </c>
      <c r="C7" s="515" t="n">
        <v>0.291480468913287</v>
      </c>
      <c r="D7" s="515" t="n">
        <v>0.641257031609232</v>
      </c>
      <c r="H7" s="20"/>
      <c r="I7" s="21"/>
      <c r="J7" s="22" t="s">
        <v>18</v>
      </c>
      <c r="K7" s="23"/>
    </row>
    <row r="8" customFormat="false" ht="15" hidden="false" customHeight="false" outlineLevel="0" collapsed="false">
      <c r="A8" s="513" t="n">
        <v>2</v>
      </c>
      <c r="B8" s="513" t="s">
        <v>741</v>
      </c>
      <c r="C8" s="515" t="n">
        <v>0.28405714516058</v>
      </c>
      <c r="D8" s="515" t="n">
        <v>0.555763979662004</v>
      </c>
      <c r="H8" s="20"/>
      <c r="I8" s="27"/>
      <c r="J8" s="22" t="s">
        <v>20</v>
      </c>
      <c r="K8" s="23"/>
    </row>
    <row r="9" customFormat="false" ht="15" hidden="false" customHeight="false" outlineLevel="0" collapsed="false">
      <c r="A9" s="513" t="n">
        <v>3</v>
      </c>
      <c r="B9" s="513" t="s">
        <v>742</v>
      </c>
      <c r="C9" s="515" t="n">
        <v>0.287375655330927</v>
      </c>
      <c r="D9" s="515" t="n">
        <v>0.487289154691573</v>
      </c>
      <c r="H9" s="20"/>
      <c r="I9" s="28"/>
      <c r="J9" s="22" t="s">
        <v>22</v>
      </c>
      <c r="K9" s="23"/>
    </row>
    <row r="10" customFormat="false" ht="15.75" hidden="false" customHeight="false" outlineLevel="0" collapsed="false">
      <c r="A10" s="513" t="n">
        <v>4</v>
      </c>
      <c r="B10" s="513" t="s">
        <v>743</v>
      </c>
      <c r="C10" s="515" t="n">
        <v>0.271283603909818</v>
      </c>
      <c r="D10" s="515" t="n">
        <v>0.415510330039088</v>
      </c>
      <c r="H10" s="29"/>
      <c r="I10" s="30"/>
      <c r="J10" s="30"/>
      <c r="K10" s="31"/>
    </row>
    <row r="11" customFormat="false" ht="15" hidden="false" customHeight="false" outlineLevel="0" collapsed="false">
      <c r="A11" s="513" t="n">
        <v>5</v>
      </c>
      <c r="B11" s="513" t="s">
        <v>744</v>
      </c>
      <c r="C11" s="515" t="n">
        <v>0.240736202375618</v>
      </c>
      <c r="D11" s="515" t="n">
        <v>0.351238065761148</v>
      </c>
    </row>
  </sheetData>
  <mergeCells count="1">
    <mergeCell ref="H5:K5"/>
  </mergeCells>
  <hyperlinks>
    <hyperlink ref="A1" location="'2.1.c Insumos'!A1" display="ANEXO XIII – MÉTODO PARA CÁLCULO DAS DESPESAS COM PESSOAL DE MANUTENÇÃO, ADMINISTRATIVO E DIRETORIA"/>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A1:Y46"/>
  <sheetViews>
    <sheetView showFormulas="false" showGridLines="true" showRowColHeaders="true" showZeros="true" rightToLeft="false" tabSelected="false" showOutlineSymbols="true" defaultGridColor="true" view="normal" topLeftCell="A2" colorId="64" zoomScale="100" zoomScaleNormal="100" zoomScalePageLayoutView="100" workbookViewId="0">
      <selection pane="topLeft" activeCell="A2" activeCellId="0" sqref="A2"/>
    </sheetView>
  </sheetViews>
  <sheetFormatPr defaultColWidth="11.43359375" defaultRowHeight="12.75" zeroHeight="false" outlineLevelRow="0" outlineLevelCol="0"/>
  <cols>
    <col collapsed="false" customWidth="false" hidden="false" outlineLevel="0" max="1" min="1" style="516" width="11.42"/>
    <col collapsed="false" customWidth="true" hidden="false" outlineLevel="0" max="2" min="2" style="504" width="10"/>
    <col collapsed="false" customWidth="true" hidden="false" outlineLevel="0" max="3" min="3" style="504" width="16.42"/>
    <col collapsed="false" customWidth="true" hidden="false" outlineLevel="0" max="4" min="4" style="504" width="11.71"/>
    <col collapsed="false" customWidth="true" hidden="false" outlineLevel="0" max="5" min="5" style="504" width="10"/>
    <col collapsed="false" customWidth="true" hidden="false" outlineLevel="0" max="6" min="6" style="504" width="10.71"/>
    <col collapsed="false" customWidth="true" hidden="false" outlineLevel="0" max="7" min="7" style="504" width="9.29"/>
    <col collapsed="false" customWidth="true" hidden="false" outlineLevel="0" max="8" min="8" style="504" width="11.29"/>
    <col collapsed="false" customWidth="true" hidden="false" outlineLevel="0" max="9" min="9" style="504" width="9.29"/>
    <col collapsed="false" customWidth="true" hidden="false" outlineLevel="0" max="10" min="10" style="504" width="10.71"/>
    <col collapsed="false" customWidth="true" hidden="false" outlineLevel="0" max="11" min="11" style="504" width="2.85"/>
    <col collapsed="false" customWidth="true" hidden="false" outlineLevel="0" max="12" min="12" style="504" width="8"/>
    <col collapsed="false" customWidth="true" hidden="false" outlineLevel="0" max="13" min="13" style="504" width="27.14"/>
    <col collapsed="false" customWidth="true" hidden="false" outlineLevel="0" max="14" min="14" style="504" width="10.42"/>
    <col collapsed="false" customWidth="false" hidden="false" outlineLevel="0" max="16" min="15" style="504" width="11.42"/>
    <col collapsed="false" customWidth="true" hidden="false" outlineLevel="0" max="17" min="17" style="504" width="24.71"/>
    <col collapsed="false" customWidth="true" hidden="false" outlineLevel="0" max="18" min="18" style="504" width="11.29"/>
    <col collapsed="false" customWidth="false" hidden="false" outlineLevel="0" max="21" min="19" style="504" width="11.42"/>
    <col collapsed="false" customWidth="true" hidden="false" outlineLevel="0" max="22" min="22" style="504" width="9.58"/>
    <col collapsed="false" customWidth="false" hidden="false" outlineLevel="0" max="1024" min="23" style="504" width="11.42"/>
  </cols>
  <sheetData>
    <row r="1" customFormat="false" ht="12.75" hidden="false" customHeight="false" outlineLevel="0" collapsed="false">
      <c r="A1" s="510" t="s">
        <v>745</v>
      </c>
    </row>
    <row r="2" customFormat="false" ht="15" hidden="false" customHeight="false" outlineLevel="0" collapsed="false">
      <c r="A2" s="517" t="s">
        <v>746</v>
      </c>
      <c r="B2" s="58" t="s">
        <v>747</v>
      </c>
      <c r="C2" s="58"/>
      <c r="D2" s="58"/>
      <c r="E2" s="58"/>
    </row>
    <row r="3" customFormat="false" ht="12.75" hidden="false" customHeight="false" outlineLevel="0" collapsed="false">
      <c r="B3" s="68" t="s">
        <v>748</v>
      </c>
      <c r="C3" s="68"/>
      <c r="D3" s="62" t="s">
        <v>42</v>
      </c>
      <c r="E3" s="58" t="s">
        <v>749</v>
      </c>
    </row>
    <row r="4" customFormat="false" ht="12.75" hidden="false" customHeight="true" outlineLevel="0" collapsed="false">
      <c r="B4" s="518" t="s">
        <v>750</v>
      </c>
      <c r="C4" s="518"/>
      <c r="D4" s="62"/>
      <c r="E4" s="58" t="s">
        <v>751</v>
      </c>
    </row>
    <row r="6" customFormat="false" ht="15" hidden="false" customHeight="false" outlineLevel="0" collapsed="false">
      <c r="A6" s="517"/>
      <c r="B6" s="519" t="s">
        <v>752</v>
      </c>
      <c r="P6" s="520"/>
      <c r="Q6" s="520"/>
      <c r="R6" s="520"/>
      <c r="S6" s="520"/>
      <c r="T6" s="520"/>
      <c r="U6" s="520"/>
      <c r="V6" s="520"/>
    </row>
    <row r="7" customFormat="false" ht="13.5" hidden="false" customHeight="true" outlineLevel="0" collapsed="false">
      <c r="P7" s="520"/>
      <c r="Q7" s="520"/>
      <c r="R7" s="520"/>
      <c r="S7" s="520"/>
      <c r="T7" s="520"/>
      <c r="U7" s="520"/>
      <c r="V7" s="520"/>
    </row>
    <row r="8" customFormat="false" ht="15.75" hidden="false" customHeight="false" outlineLevel="0" collapsed="false">
      <c r="K8" s="521" t="s">
        <v>16</v>
      </c>
      <c r="L8" s="521"/>
      <c r="M8" s="521"/>
      <c r="N8" s="521"/>
      <c r="O8" s="522"/>
      <c r="P8" s="523"/>
      <c r="Q8" s="523"/>
      <c r="R8" s="523"/>
      <c r="S8" s="523"/>
      <c r="T8" s="523" t="n">
        <v>1</v>
      </c>
      <c r="U8" s="523"/>
      <c r="V8" s="523"/>
      <c r="W8" s="522"/>
      <c r="X8" s="522"/>
    </row>
    <row r="9" customFormat="false" ht="15" hidden="false" customHeight="false" outlineLevel="0" collapsed="false">
      <c r="K9" s="524"/>
      <c r="L9" s="525"/>
      <c r="M9" s="526"/>
      <c r="N9" s="527"/>
      <c r="O9" s="522"/>
      <c r="P9" s="523"/>
      <c r="Q9" s="523"/>
      <c r="R9" s="523"/>
      <c r="S9" s="523"/>
      <c r="T9" s="523"/>
      <c r="U9" s="523"/>
      <c r="V9" s="523"/>
      <c r="W9" s="522"/>
      <c r="X9" s="522"/>
      <c r="Y9" s="520"/>
    </row>
    <row r="10" customFormat="false" ht="15" hidden="false" customHeight="false" outlineLevel="0" collapsed="false">
      <c r="F10" s="528"/>
      <c r="G10" s="528"/>
      <c r="H10" s="528"/>
      <c r="I10" s="528"/>
      <c r="J10" s="528"/>
      <c r="K10" s="529"/>
      <c r="L10" s="21"/>
      <c r="M10" s="530" t="s">
        <v>18</v>
      </c>
      <c r="N10" s="531"/>
      <c r="O10" s="522"/>
      <c r="P10" s="523"/>
      <c r="Q10" s="532" t="s">
        <v>753</v>
      </c>
      <c r="R10" s="532" t="s">
        <v>754</v>
      </c>
      <c r="S10" s="532" t="s">
        <v>755</v>
      </c>
      <c r="T10" s="532" t="s">
        <v>756</v>
      </c>
      <c r="U10" s="523"/>
      <c r="V10" s="532"/>
      <c r="W10" s="522"/>
      <c r="X10" s="522"/>
      <c r="Y10" s="520"/>
    </row>
    <row r="11" customFormat="false" ht="15" hidden="false" customHeight="false" outlineLevel="0" collapsed="false">
      <c r="K11" s="529"/>
      <c r="L11" s="27"/>
      <c r="M11" s="530" t="s">
        <v>20</v>
      </c>
      <c r="N11" s="531"/>
      <c r="O11" s="522"/>
      <c r="P11" s="523"/>
      <c r="Q11" s="533" t="n">
        <v>0.95</v>
      </c>
      <c r="R11" s="534" t="n">
        <v>0.0502</v>
      </c>
      <c r="S11" s="534" t="n">
        <v>0.0731</v>
      </c>
      <c r="T11" s="534" t="n">
        <v>0.12</v>
      </c>
      <c r="U11" s="523"/>
      <c r="V11" s="535"/>
      <c r="W11" s="522"/>
      <c r="X11" s="522"/>
      <c r="Y11" s="520"/>
    </row>
    <row r="12" customFormat="false" ht="15" hidden="false" customHeight="false" outlineLevel="0" collapsed="false">
      <c r="K12" s="529"/>
      <c r="L12" s="28"/>
      <c r="M12" s="530" t="s">
        <v>22</v>
      </c>
      <c r="N12" s="531"/>
      <c r="O12" s="522"/>
      <c r="P12" s="523"/>
      <c r="Q12" s="533" t="n">
        <v>0.9</v>
      </c>
      <c r="R12" s="534" t="n">
        <v>0.0393</v>
      </c>
      <c r="S12" s="534" t="n">
        <v>0.0571</v>
      </c>
      <c r="T12" s="534" t="n">
        <v>0.0938</v>
      </c>
      <c r="U12" s="523"/>
      <c r="V12" s="535"/>
      <c r="W12" s="522"/>
      <c r="X12" s="522"/>
      <c r="Y12" s="520"/>
    </row>
    <row r="13" customFormat="false" ht="15.75" hidden="false" customHeight="false" outlineLevel="0" collapsed="false">
      <c r="K13" s="536"/>
      <c r="L13" s="537"/>
      <c r="M13" s="538"/>
      <c r="N13" s="539"/>
      <c r="O13" s="522"/>
      <c r="P13" s="523"/>
      <c r="Q13" s="533" t="n">
        <v>0.85</v>
      </c>
      <c r="R13" s="534" t="n">
        <v>0.0315</v>
      </c>
      <c r="S13" s="534" t="n">
        <v>0.0458</v>
      </c>
      <c r="T13" s="534" t="n">
        <v>0.0753</v>
      </c>
      <c r="U13" s="523"/>
      <c r="V13" s="535"/>
      <c r="W13" s="522"/>
      <c r="X13" s="522"/>
      <c r="Y13" s="520"/>
    </row>
    <row r="14" customFormat="false" ht="15" hidden="false" customHeight="false" outlineLevel="0" collapsed="false">
      <c r="M14" s="520"/>
      <c r="N14" s="520"/>
      <c r="O14" s="522"/>
      <c r="P14" s="523"/>
      <c r="Q14" s="533"/>
      <c r="R14" s="534"/>
      <c r="S14" s="534"/>
      <c r="T14" s="534"/>
      <c r="U14" s="523"/>
      <c r="V14" s="535"/>
      <c r="W14" s="522"/>
      <c r="X14" s="522"/>
      <c r="Y14" s="520"/>
    </row>
    <row r="15" customFormat="false" ht="15" hidden="false" customHeight="false" outlineLevel="0" collapsed="false">
      <c r="M15" s="520"/>
      <c r="N15" s="520"/>
      <c r="O15" s="522"/>
      <c r="P15" s="523"/>
      <c r="Q15" s="533"/>
      <c r="R15" s="534"/>
      <c r="S15" s="534"/>
      <c r="T15" s="534"/>
      <c r="U15" s="523"/>
      <c r="V15" s="523"/>
      <c r="W15" s="522"/>
      <c r="X15" s="522"/>
      <c r="Y15" s="520"/>
    </row>
    <row r="16" customFormat="false" ht="12.75" hidden="false" customHeight="false" outlineLevel="0" collapsed="false">
      <c r="M16" s="520"/>
      <c r="N16" s="520"/>
      <c r="O16" s="522"/>
      <c r="P16" s="523"/>
      <c r="Q16" s="523"/>
      <c r="R16" s="540" t="s">
        <v>753</v>
      </c>
      <c r="S16" s="532" t="s">
        <v>753</v>
      </c>
      <c r="T16" s="532" t="s">
        <v>757</v>
      </c>
      <c r="U16" s="523"/>
      <c r="V16" s="523"/>
      <c r="W16" s="522"/>
      <c r="X16" s="522"/>
      <c r="Y16" s="520"/>
    </row>
    <row r="17" customFormat="false" ht="12.75" hidden="false" customHeight="true" outlineLevel="0" collapsed="false">
      <c r="M17" s="520"/>
      <c r="N17" s="520"/>
      <c r="O17" s="522"/>
      <c r="P17" s="523"/>
      <c r="Q17" s="541" t="s">
        <v>758</v>
      </c>
      <c r="R17" s="532" t="s">
        <v>754</v>
      </c>
      <c r="S17" s="542" t="n">
        <f aca="false">R11</f>
        <v>0.0502</v>
      </c>
      <c r="T17" s="543" t="n">
        <f aca="false">S17</f>
        <v>0.0502</v>
      </c>
      <c r="U17" s="523"/>
      <c r="V17" s="523"/>
      <c r="W17" s="522"/>
      <c r="X17" s="522"/>
      <c r="Y17" s="520"/>
    </row>
    <row r="18" customFormat="false" ht="12.75" hidden="false" customHeight="false" outlineLevel="0" collapsed="false">
      <c r="M18" s="520"/>
      <c r="N18" s="520"/>
      <c r="O18" s="522"/>
      <c r="P18" s="523"/>
      <c r="Q18" s="541"/>
      <c r="R18" s="532" t="s">
        <v>755</v>
      </c>
      <c r="S18" s="542" t="n">
        <f aca="false">S11</f>
        <v>0.0731</v>
      </c>
      <c r="T18" s="543" t="n">
        <f aca="false">S18</f>
        <v>0.0731</v>
      </c>
      <c r="U18" s="523"/>
      <c r="V18" s="523"/>
      <c r="W18" s="522"/>
      <c r="X18" s="522"/>
      <c r="Y18" s="520"/>
    </row>
    <row r="19" customFormat="false" ht="12.75" hidden="false" customHeight="false" outlineLevel="0" collapsed="false">
      <c r="M19" s="520"/>
      <c r="N19" s="520"/>
      <c r="O19" s="522"/>
      <c r="P19" s="523"/>
      <c r="Q19" s="541"/>
      <c r="R19" s="532" t="s">
        <v>756</v>
      </c>
      <c r="S19" s="542" t="n">
        <f aca="false">T11</f>
        <v>0.12</v>
      </c>
      <c r="T19" s="543" t="n">
        <f aca="false">S19</f>
        <v>0.12</v>
      </c>
      <c r="U19" s="523"/>
      <c r="V19" s="523"/>
      <c r="W19" s="522"/>
      <c r="X19" s="522"/>
      <c r="Y19" s="520"/>
    </row>
    <row r="20" customFormat="false" ht="12.75" hidden="false" customHeight="false" outlineLevel="0" collapsed="false">
      <c r="M20" s="520"/>
      <c r="N20" s="520"/>
      <c r="O20" s="522"/>
      <c r="P20" s="523"/>
      <c r="Q20" s="541" t="s">
        <v>759</v>
      </c>
      <c r="R20" s="532" t="s">
        <v>754</v>
      </c>
      <c r="S20" s="542" t="n">
        <f aca="false">R12</f>
        <v>0.0393</v>
      </c>
      <c r="T20" s="543" t="n">
        <f aca="false">S20</f>
        <v>0.0393</v>
      </c>
      <c r="U20" s="523"/>
      <c r="V20" s="523"/>
      <c r="W20" s="522"/>
      <c r="X20" s="522"/>
      <c r="Y20" s="520"/>
    </row>
    <row r="21" customFormat="false" ht="12.75" hidden="false" customHeight="false" outlineLevel="0" collapsed="false">
      <c r="M21" s="520"/>
      <c r="N21" s="520"/>
      <c r="O21" s="522"/>
      <c r="P21" s="523"/>
      <c r="Q21" s="541"/>
      <c r="R21" s="532" t="s">
        <v>755</v>
      </c>
      <c r="S21" s="542" t="n">
        <f aca="false">S12</f>
        <v>0.0571</v>
      </c>
      <c r="T21" s="543" t="n">
        <f aca="false">S21</f>
        <v>0.0571</v>
      </c>
      <c r="U21" s="523"/>
      <c r="V21" s="523"/>
      <c r="W21" s="522"/>
      <c r="X21" s="522"/>
      <c r="Y21" s="520"/>
    </row>
    <row r="22" customFormat="false" ht="12.75" hidden="false" customHeight="true" outlineLevel="0" collapsed="false">
      <c r="M22" s="520"/>
      <c r="N22" s="520"/>
      <c r="O22" s="522"/>
      <c r="P22" s="523"/>
      <c r="Q22" s="541"/>
      <c r="R22" s="532" t="s">
        <v>756</v>
      </c>
      <c r="S22" s="542" t="n">
        <f aca="false">T12</f>
        <v>0.0938</v>
      </c>
      <c r="T22" s="543" t="n">
        <f aca="false">S22</f>
        <v>0.0938</v>
      </c>
      <c r="U22" s="523"/>
      <c r="V22" s="523"/>
      <c r="W22" s="522"/>
      <c r="X22" s="522"/>
      <c r="Y22" s="520"/>
    </row>
    <row r="23" customFormat="false" ht="12.75" hidden="false" customHeight="false" outlineLevel="0" collapsed="false">
      <c r="M23" s="520"/>
      <c r="N23" s="520"/>
      <c r="O23" s="522"/>
      <c r="P23" s="523"/>
      <c r="Q23" s="541" t="s">
        <v>760</v>
      </c>
      <c r="R23" s="532" t="s">
        <v>754</v>
      </c>
      <c r="S23" s="542" t="n">
        <f aca="false">R13</f>
        <v>0.0315</v>
      </c>
      <c r="T23" s="543" t="n">
        <f aca="false">S23</f>
        <v>0.0315</v>
      </c>
      <c r="U23" s="523"/>
      <c r="V23" s="523"/>
      <c r="W23" s="522"/>
      <c r="X23" s="522"/>
      <c r="Y23" s="520"/>
    </row>
    <row r="24" customFormat="false" ht="12.75" hidden="false" customHeight="false" outlineLevel="0" collapsed="false">
      <c r="M24" s="520"/>
      <c r="N24" s="520"/>
      <c r="O24" s="522"/>
      <c r="P24" s="523"/>
      <c r="Q24" s="541"/>
      <c r="R24" s="532" t="s">
        <v>755</v>
      </c>
      <c r="S24" s="542" t="n">
        <f aca="false">S13</f>
        <v>0.0458</v>
      </c>
      <c r="T24" s="543" t="n">
        <f aca="false">S24</f>
        <v>0.0458</v>
      </c>
      <c r="U24" s="523"/>
      <c r="V24" s="523"/>
      <c r="W24" s="522"/>
      <c r="X24" s="522"/>
      <c r="Y24" s="520"/>
    </row>
    <row r="25" customFormat="false" ht="12.75" hidden="false" customHeight="false" outlineLevel="0" collapsed="false">
      <c r="M25" s="520"/>
      <c r="N25" s="520"/>
      <c r="O25" s="522"/>
      <c r="P25" s="523"/>
      <c r="Q25" s="523"/>
      <c r="R25" s="532" t="s">
        <v>756</v>
      </c>
      <c r="S25" s="542" t="n">
        <f aca="false">T13</f>
        <v>0.0753</v>
      </c>
      <c r="T25" s="543" t="n">
        <f aca="false">S25</f>
        <v>0.0753</v>
      </c>
      <c r="U25" s="523"/>
      <c r="V25" s="523"/>
      <c r="W25" s="522"/>
      <c r="X25" s="522"/>
      <c r="Y25" s="520"/>
    </row>
    <row r="26" customFormat="false" ht="12.75" hidden="false" customHeight="false" outlineLevel="0" collapsed="false">
      <c r="M26" s="520"/>
      <c r="N26" s="520"/>
      <c r="O26" s="522"/>
      <c r="P26" s="523"/>
      <c r="Q26" s="541"/>
      <c r="R26" s="523"/>
      <c r="S26" s="542"/>
      <c r="T26" s="542"/>
      <c r="U26" s="543"/>
      <c r="V26" s="523"/>
      <c r="W26" s="522"/>
      <c r="X26" s="522"/>
      <c r="Y26" s="520"/>
    </row>
    <row r="27" customFormat="false" ht="12.75" hidden="false" customHeight="true" outlineLevel="0" collapsed="false">
      <c r="M27" s="520"/>
      <c r="N27" s="520"/>
      <c r="O27" s="522"/>
      <c r="P27" s="523"/>
      <c r="Q27" s="541"/>
      <c r="R27" s="523"/>
      <c r="S27" s="542"/>
      <c r="T27" s="542"/>
      <c r="U27" s="543"/>
      <c r="V27" s="523"/>
      <c r="W27" s="522"/>
      <c r="X27" s="522"/>
      <c r="Y27" s="520"/>
    </row>
    <row r="28" customFormat="false" ht="15" hidden="false" customHeight="false" outlineLevel="0" collapsed="false">
      <c r="A28" s="517" t="s">
        <v>761</v>
      </c>
      <c r="B28" s="519" t="s">
        <v>762</v>
      </c>
      <c r="M28" s="520"/>
      <c r="N28" s="520"/>
      <c r="O28" s="522"/>
      <c r="P28" s="523"/>
      <c r="Q28" s="541"/>
      <c r="R28" s="523"/>
      <c r="S28" s="542"/>
      <c r="T28" s="542"/>
      <c r="U28" s="543"/>
      <c r="V28" s="523"/>
      <c r="W28" s="522"/>
      <c r="X28" s="522"/>
      <c r="Y28" s="520"/>
    </row>
    <row r="29" customFormat="false" ht="17.25" hidden="false" customHeight="true" outlineLevel="0" collapsed="false">
      <c r="M29" s="520"/>
      <c r="N29" s="520"/>
      <c r="O29" s="522"/>
      <c r="P29" s="520"/>
      <c r="Q29" s="544"/>
      <c r="R29" s="520"/>
      <c r="S29" s="545"/>
      <c r="T29" s="545"/>
      <c r="U29" s="546"/>
      <c r="V29" s="520"/>
      <c r="W29" s="522"/>
      <c r="X29" s="522"/>
      <c r="Y29" s="520"/>
    </row>
    <row r="30" customFormat="false" ht="17.25" hidden="false" customHeight="true" outlineLevel="0" collapsed="false">
      <c r="M30" s="520"/>
      <c r="N30" s="520"/>
      <c r="O30" s="522"/>
      <c r="P30" s="520"/>
      <c r="Q30" s="544"/>
      <c r="R30" s="520"/>
      <c r="S30" s="545"/>
      <c r="T30" s="545"/>
      <c r="U30" s="546"/>
      <c r="V30" s="520"/>
      <c r="W30" s="522"/>
      <c r="X30" s="522"/>
      <c r="Y30" s="520"/>
    </row>
    <row r="31" customFormat="false" ht="12.75" hidden="false" customHeight="false" outlineLevel="0" collapsed="false">
      <c r="B31" s="547" t="s">
        <v>763</v>
      </c>
      <c r="C31" s="548" t="s">
        <v>764</v>
      </c>
      <c r="D31" s="549" t="s">
        <v>765</v>
      </c>
      <c r="M31" s="520"/>
      <c r="N31" s="520"/>
      <c r="O31" s="522"/>
      <c r="P31" s="520"/>
      <c r="Q31" s="544"/>
      <c r="R31" s="520"/>
      <c r="S31" s="545"/>
      <c r="T31" s="545"/>
      <c r="U31" s="546"/>
      <c r="V31" s="520"/>
      <c r="W31" s="522"/>
      <c r="X31" s="522"/>
      <c r="Y31" s="520"/>
    </row>
    <row r="32" customFormat="false" ht="23.25" hidden="false" customHeight="true" outlineLevel="0" collapsed="false">
      <c r="B32" s="550" t="n">
        <f aca="false">IF(T8=1,R11,IF(T8=2,R12,IF(T8=3,R13,IF(T8=4,R14,"ERROR"))))</f>
        <v>0.0502</v>
      </c>
      <c r="C32" s="551" t="n">
        <f aca="false">IF(T8=1,S11,IF(T8=2,S12,IF(T8=3,S13,IF(T8=4,S14,"ERROR"))))</f>
        <v>0.0731</v>
      </c>
      <c r="D32" s="552" t="n">
        <f aca="false">IF(T8=1,T11,IF(T8=2,T12,IF(T8=3,T13,IF(T8=4,T14,"ERROR"))))</f>
        <v>0.12</v>
      </c>
      <c r="M32" s="520"/>
      <c r="N32" s="520"/>
      <c r="O32" s="522"/>
      <c r="P32" s="520"/>
      <c r="Q32" s="520"/>
      <c r="R32" s="520"/>
      <c r="S32" s="520"/>
      <c r="T32" s="520"/>
      <c r="U32" s="520"/>
      <c r="V32" s="520"/>
      <c r="W32" s="522"/>
      <c r="X32" s="522"/>
      <c r="Y32" s="520"/>
    </row>
    <row r="33" customFormat="false" ht="21.75" hidden="false" customHeight="true" outlineLevel="0" collapsed="false">
      <c r="B33" s="553" t="s">
        <v>766</v>
      </c>
      <c r="C33" s="553"/>
      <c r="D33" s="553"/>
      <c r="M33" s="520"/>
      <c r="N33" s="520"/>
      <c r="O33" s="522"/>
      <c r="P33" s="520"/>
      <c r="Q33" s="520"/>
      <c r="R33" s="520"/>
      <c r="S33" s="520"/>
      <c r="T33" s="520"/>
      <c r="U33" s="520"/>
      <c r="V33" s="520"/>
      <c r="W33" s="522"/>
      <c r="X33" s="522"/>
      <c r="Y33" s="520"/>
    </row>
    <row r="34" customFormat="false" ht="12.75" hidden="false" customHeight="true" outlineLevel="0" collapsed="false">
      <c r="M34" s="520"/>
      <c r="N34" s="520"/>
      <c r="O34" s="522"/>
      <c r="P34" s="520"/>
      <c r="Q34" s="520"/>
      <c r="R34" s="520"/>
      <c r="S34" s="520"/>
      <c r="T34" s="520"/>
      <c r="U34" s="520"/>
      <c r="V34" s="520"/>
      <c r="W34" s="522"/>
      <c r="X34" s="522"/>
      <c r="Y34" s="520"/>
    </row>
    <row r="35" customFormat="false" ht="15" hidden="false" customHeight="false" outlineLevel="0" collapsed="false">
      <c r="A35" s="517" t="s">
        <v>767</v>
      </c>
      <c r="B35" s="519" t="s">
        <v>768</v>
      </c>
      <c r="M35" s="520"/>
      <c r="N35" s="520"/>
      <c r="O35" s="522"/>
      <c r="P35" s="520"/>
      <c r="Q35" s="520"/>
      <c r="R35" s="520"/>
      <c r="S35" s="520"/>
      <c r="T35" s="520"/>
      <c r="U35" s="520"/>
      <c r="V35" s="520"/>
      <c r="W35" s="522"/>
      <c r="X35" s="522"/>
      <c r="Y35" s="520"/>
    </row>
    <row r="36" customFormat="false" ht="15" hidden="false" customHeight="false" outlineLevel="0" collapsed="false">
      <c r="B36" s="554" t="s">
        <v>769</v>
      </c>
      <c r="C36" s="555" t="n">
        <v>0.0731</v>
      </c>
      <c r="M36" s="520"/>
      <c r="N36" s="520"/>
      <c r="O36" s="522"/>
      <c r="P36" s="520"/>
      <c r="Q36" s="520"/>
      <c r="R36" s="520"/>
      <c r="S36" s="520"/>
      <c r="T36" s="520"/>
      <c r="U36" s="520"/>
      <c r="V36" s="520"/>
      <c r="W36" s="522"/>
      <c r="X36" s="522"/>
      <c r="Y36" s="520"/>
    </row>
    <row r="37" customFormat="false" ht="12.75" hidden="false" customHeight="false" outlineLevel="0" collapsed="false">
      <c r="M37" s="520"/>
      <c r="N37" s="520"/>
      <c r="O37" s="522"/>
      <c r="P37" s="520"/>
      <c r="Q37" s="520"/>
      <c r="R37" s="520"/>
      <c r="S37" s="520"/>
      <c r="T37" s="520"/>
      <c r="U37" s="520"/>
      <c r="V37" s="520"/>
      <c r="W37" s="522"/>
      <c r="X37" s="522"/>
      <c r="Y37" s="520"/>
    </row>
    <row r="38" customFormat="false" ht="12.75" hidden="false" customHeight="false" outlineLevel="0" collapsed="false">
      <c r="M38" s="520"/>
      <c r="N38" s="520"/>
      <c r="O38" s="522"/>
      <c r="P38" s="522"/>
      <c r="Q38" s="522"/>
      <c r="R38" s="522"/>
      <c r="S38" s="522"/>
      <c r="T38" s="522"/>
      <c r="U38" s="522"/>
      <c r="V38" s="522"/>
      <c r="W38" s="522"/>
      <c r="X38" s="522"/>
      <c r="Y38" s="520"/>
    </row>
    <row r="39" customFormat="false" ht="15" hidden="false" customHeight="false" outlineLevel="0" collapsed="false">
      <c r="A39" s="517" t="s">
        <v>770</v>
      </c>
      <c r="B39" s="519" t="s">
        <v>771</v>
      </c>
      <c r="M39" s="520"/>
      <c r="N39" s="520"/>
      <c r="O39" s="522"/>
      <c r="P39" s="522"/>
      <c r="Q39" s="522"/>
      <c r="R39" s="522"/>
      <c r="S39" s="522"/>
      <c r="T39" s="522"/>
      <c r="U39" s="522"/>
      <c r="V39" s="522"/>
      <c r="W39" s="522"/>
      <c r="X39" s="522"/>
      <c r="Y39" s="520"/>
    </row>
    <row r="40" customFormat="false" ht="15" hidden="false" customHeight="false" outlineLevel="0" collapsed="false">
      <c r="B40" s="556" t="s">
        <v>772</v>
      </c>
      <c r="C40" s="557" t="n">
        <f aca="false">C36</f>
        <v>0.0731</v>
      </c>
      <c r="M40" s="520"/>
      <c r="N40" s="520"/>
      <c r="O40" s="522"/>
      <c r="P40" s="522"/>
      <c r="Q40" s="522"/>
      <c r="R40" s="522"/>
      <c r="S40" s="522"/>
      <c r="T40" s="522"/>
      <c r="U40" s="522"/>
      <c r="V40" s="522"/>
      <c r="W40" s="522"/>
      <c r="X40" s="522"/>
      <c r="Y40" s="520"/>
    </row>
    <row r="41" customFormat="false" ht="12.75" hidden="false" customHeight="false" outlineLevel="0" collapsed="false">
      <c r="M41" s="520"/>
      <c r="N41" s="520"/>
      <c r="O41" s="522"/>
      <c r="P41" s="522"/>
      <c r="Q41" s="522"/>
      <c r="R41" s="522"/>
      <c r="S41" s="522"/>
      <c r="T41" s="522"/>
      <c r="U41" s="522"/>
      <c r="V41" s="522"/>
      <c r="W41" s="522"/>
      <c r="X41" s="522"/>
      <c r="Y41" s="520"/>
    </row>
    <row r="42" customFormat="false" ht="12.75" hidden="false" customHeight="false" outlineLevel="0" collapsed="false">
      <c r="M42" s="520"/>
      <c r="N42" s="520"/>
      <c r="O42" s="520"/>
      <c r="P42" s="520"/>
      <c r="Q42" s="520"/>
      <c r="R42" s="520"/>
      <c r="S42" s="520"/>
      <c r="T42" s="520"/>
      <c r="U42" s="520"/>
      <c r="V42" s="520"/>
      <c r="W42" s="520"/>
      <c r="X42" s="520"/>
      <c r="Y42" s="520"/>
    </row>
    <row r="43" customFormat="false" ht="12.75" hidden="false" customHeight="false" outlineLevel="0" collapsed="false">
      <c r="M43" s="520"/>
      <c r="N43" s="520"/>
      <c r="O43" s="520"/>
      <c r="P43" s="520"/>
      <c r="Q43" s="520"/>
      <c r="R43" s="520"/>
      <c r="S43" s="520"/>
      <c r="T43" s="520"/>
      <c r="U43" s="520"/>
      <c r="V43" s="520"/>
      <c r="W43" s="520"/>
      <c r="X43" s="520"/>
      <c r="Y43" s="520"/>
    </row>
    <row r="44" customFormat="false" ht="12.75" hidden="false" customHeight="false" outlineLevel="0" collapsed="false">
      <c r="M44" s="520"/>
      <c r="N44" s="520"/>
      <c r="O44" s="520"/>
      <c r="P44" s="520"/>
      <c r="Q44" s="520"/>
      <c r="R44" s="520"/>
      <c r="S44" s="520"/>
      <c r="T44" s="520"/>
      <c r="U44" s="520"/>
      <c r="V44" s="520"/>
      <c r="W44" s="520"/>
      <c r="X44" s="520"/>
      <c r="Y44" s="520"/>
    </row>
    <row r="45" customFormat="false" ht="12.75" hidden="false" customHeight="false" outlineLevel="0" collapsed="false">
      <c r="M45" s="520"/>
      <c r="N45" s="520"/>
      <c r="O45" s="520"/>
      <c r="P45" s="520"/>
      <c r="Q45" s="520"/>
      <c r="R45" s="520"/>
      <c r="S45" s="520"/>
      <c r="T45" s="520"/>
      <c r="U45" s="520"/>
      <c r="V45" s="520"/>
      <c r="W45" s="520"/>
      <c r="X45" s="520"/>
      <c r="Y45" s="520"/>
    </row>
    <row r="46" customFormat="false" ht="12.75" hidden="false" customHeight="false" outlineLevel="0" collapsed="false">
      <c r="M46" s="520"/>
      <c r="N46" s="520"/>
      <c r="O46" s="520"/>
      <c r="P46" s="520"/>
      <c r="Q46" s="520"/>
      <c r="R46" s="520"/>
      <c r="S46" s="520"/>
      <c r="T46" s="520"/>
      <c r="U46" s="520"/>
      <c r="V46" s="520"/>
      <c r="W46" s="520"/>
      <c r="X46" s="520"/>
      <c r="Y46" s="520"/>
    </row>
  </sheetData>
  <mergeCells count="4">
    <mergeCell ref="B3:C3"/>
    <mergeCell ref="B4:C4"/>
    <mergeCell ref="K8:N8"/>
    <mergeCell ref="B33:D33"/>
  </mergeCells>
  <conditionalFormatting sqref="B32">
    <cfRule type="cellIs" priority="2" operator="equal" aboveAverage="0" equalAverage="0" bottom="0" percent="0" rank="0" text="" dxfId="0">
      <formula>$R$13</formula>
    </cfRule>
    <cfRule type="cellIs" priority="3" operator="equal" aboveAverage="0" equalAverage="0" bottom="0" percent="0" rank="0" text="" dxfId="1">
      <formula>$R$14</formula>
    </cfRule>
    <cfRule type="cellIs" priority="4" operator="equal" aboveAverage="0" equalAverage="0" bottom="0" percent="0" rank="0" text="" dxfId="2">
      <formula>$R$12</formula>
    </cfRule>
    <cfRule type="cellIs" priority="5" operator="equal" aboveAverage="0" equalAverage="0" bottom="0" percent="0" rank="0" text="" dxfId="3">
      <formula>$R$11</formula>
    </cfRule>
  </conditionalFormatting>
  <conditionalFormatting sqref="C32">
    <cfRule type="cellIs" priority="6" operator="equal" aboveAverage="0" equalAverage="0" bottom="0" percent="0" rank="0" text="" dxfId="4">
      <formula>$S$13</formula>
    </cfRule>
    <cfRule type="cellIs" priority="7" operator="equal" aboveAverage="0" equalAverage="0" bottom="0" percent="0" rank="0" text="" dxfId="5">
      <formula>$S$14</formula>
    </cfRule>
    <cfRule type="cellIs" priority="8" operator="equal" aboveAverage="0" equalAverage="0" bottom="0" percent="0" rank="0" text="" dxfId="6">
      <formula>$S$12</formula>
    </cfRule>
    <cfRule type="cellIs" priority="9" operator="equal" aboveAverage="0" equalAverage="0" bottom="0" percent="0" rank="0" text="" dxfId="7">
      <formula>$S$11</formula>
    </cfRule>
  </conditionalFormatting>
  <conditionalFormatting sqref="D32">
    <cfRule type="cellIs" priority="10" operator="equal" aboveAverage="0" equalAverage="0" bottom="0" percent="0" rank="0" text="" dxfId="8">
      <formula>$T$13</formula>
    </cfRule>
    <cfRule type="cellIs" priority="11" operator="equal" aboveAverage="0" equalAverage="0" bottom="0" percent="0" rank="0" text="" dxfId="9">
      <formula>$T$14</formula>
    </cfRule>
    <cfRule type="cellIs" priority="12" operator="equal" aboveAverage="0" equalAverage="0" bottom="0" percent="0" rank="0" text="" dxfId="10">
      <formula>$T$12</formula>
    </cfRule>
    <cfRule type="cellIs" priority="13" operator="equal" aboveAverage="0" equalAverage="0" bottom="0" percent="0" rank="0" text="" dxfId="11">
      <formula>$T$11</formula>
    </cfRule>
  </conditionalFormatting>
  <conditionalFormatting sqref="O37:P37">
    <cfRule type="colorScale" priority="14">
      <colorScale>
        <cfvo type="min" val="0"/>
        <cfvo type="max" val="0"/>
        <color rgb="FFFF7128"/>
        <color rgb="FFFFEF9C"/>
      </colorScale>
    </cfRule>
  </conditionalFormatting>
  <hyperlinks>
    <hyperlink ref="A1" location="'2.1.c Insumos'!A1" display="ANEXO XV – MÉTODO DE CÁLCULO DO FATOR DE RISCO"/>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AC090"/>
    <pageSetUpPr fitToPage="false"/>
  </sheetPr>
  <dimension ref="A1:O132"/>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J8" activeCellId="0" sqref="J8"/>
    </sheetView>
  </sheetViews>
  <sheetFormatPr defaultColWidth="11.43359375" defaultRowHeight="12.75" zeroHeight="false" outlineLevelRow="0" outlineLevelCol="0"/>
  <cols>
    <col collapsed="false" customWidth="false" hidden="false" outlineLevel="0" max="1" min="1" style="504" width="11.42"/>
    <col collapsed="false" customWidth="true" hidden="false" outlineLevel="0" max="3" min="2" style="558" width="20.42"/>
    <col collapsed="false" customWidth="true" hidden="false" outlineLevel="0" max="4" min="4" style="558" width="30.57"/>
    <col collapsed="false" customWidth="true" hidden="false" outlineLevel="0" max="5" min="5" style="558" width="30.01"/>
    <col collapsed="false" customWidth="true" hidden="false" outlineLevel="0" max="6" min="6" style="558" width="25.57"/>
    <col collapsed="false" customWidth="true" hidden="false" outlineLevel="0" max="7" min="7" style="558" width="36.42"/>
    <col collapsed="false" customWidth="true" hidden="false" outlineLevel="0" max="8" min="8" style="558" width="26"/>
    <col collapsed="false" customWidth="true" hidden="false" outlineLevel="0" max="9" min="9" style="558" width="27.42"/>
    <col collapsed="false" customWidth="true" hidden="false" outlineLevel="0" max="10" min="10" style="558" width="34.86"/>
    <col collapsed="false" customWidth="false" hidden="false" outlineLevel="0" max="11" min="11" style="504" width="11.42"/>
    <col collapsed="false" customWidth="false" hidden="false" outlineLevel="0" max="12" min="12" style="558" width="11.42"/>
    <col collapsed="false" customWidth="false" hidden="false" outlineLevel="0" max="14" min="13" style="504" width="11.42"/>
    <col collapsed="false" customWidth="true" hidden="false" outlineLevel="0" max="15" min="15" style="504" width="30.28"/>
    <col collapsed="false" customWidth="false" hidden="false" outlineLevel="0" max="1024" min="16" style="504" width="11.42"/>
  </cols>
  <sheetData>
    <row r="1" customFormat="false" ht="13.5" hidden="false" customHeight="false" outlineLevel="0" collapsed="false">
      <c r="A1" s="559" t="s">
        <v>745</v>
      </c>
    </row>
    <row r="2" customFormat="false" ht="15.75" hidden="false" customHeight="false" outlineLevel="0" collapsed="false">
      <c r="B2" s="560"/>
      <c r="C2" s="560" t="s">
        <v>746</v>
      </c>
      <c r="D2" s="561" t="s">
        <v>773</v>
      </c>
      <c r="L2" s="521" t="s">
        <v>16</v>
      </c>
      <c r="M2" s="521"/>
      <c r="N2" s="521"/>
      <c r="O2" s="521"/>
    </row>
    <row r="3" customFormat="false" ht="15" hidden="false" customHeight="false" outlineLevel="0" collapsed="false">
      <c r="B3" s="560"/>
      <c r="C3" s="560"/>
      <c r="D3" s="561"/>
      <c r="L3" s="562"/>
      <c r="M3" s="525"/>
      <c r="N3" s="525"/>
      <c r="O3" s="563"/>
    </row>
    <row r="4" customFormat="false" ht="15" hidden="false" customHeight="false" outlineLevel="0" collapsed="false">
      <c r="L4" s="564"/>
      <c r="M4" s="21"/>
      <c r="N4" s="565" t="s">
        <v>18</v>
      </c>
      <c r="O4" s="566"/>
    </row>
    <row r="5" customFormat="false" ht="15" hidden="false" customHeight="false" outlineLevel="0" collapsed="false">
      <c r="B5" s="560"/>
      <c r="C5" s="560" t="s">
        <v>774</v>
      </c>
      <c r="D5" s="561" t="s">
        <v>775</v>
      </c>
      <c r="L5" s="564"/>
      <c r="M5" s="27"/>
      <c r="N5" s="565" t="s">
        <v>20</v>
      </c>
      <c r="O5" s="566"/>
    </row>
    <row r="6" customFormat="false" ht="15" hidden="false" customHeight="false" outlineLevel="0" collapsed="false">
      <c r="L6" s="564"/>
      <c r="M6" s="28"/>
      <c r="N6" s="565" t="s">
        <v>22</v>
      </c>
      <c r="O6" s="566"/>
    </row>
    <row r="7" customFormat="false" ht="29.25" hidden="false" customHeight="true" outlineLevel="0" collapsed="false">
      <c r="B7" s="567" t="s">
        <v>753</v>
      </c>
      <c r="C7" s="567" t="s">
        <v>776</v>
      </c>
      <c r="D7" s="567" t="s">
        <v>777</v>
      </c>
      <c r="E7" s="568" t="s">
        <v>778</v>
      </c>
      <c r="F7" s="568" t="s">
        <v>779</v>
      </c>
      <c r="G7" s="568" t="s">
        <v>780</v>
      </c>
      <c r="H7" s="568" t="s">
        <v>764</v>
      </c>
      <c r="I7" s="568" t="s">
        <v>765</v>
      </c>
      <c r="J7" s="568" t="s">
        <v>781</v>
      </c>
      <c r="L7" s="569"/>
      <c r="M7" s="537"/>
      <c r="N7" s="537"/>
      <c r="O7" s="570"/>
    </row>
    <row r="8" customFormat="false" ht="107.25" hidden="false" customHeight="true" outlineLevel="0" collapsed="false">
      <c r="B8" s="571" t="s">
        <v>782</v>
      </c>
      <c r="C8" s="571" t="s">
        <v>783</v>
      </c>
      <c r="D8" s="571" t="s">
        <v>784</v>
      </c>
      <c r="E8" s="571" t="s">
        <v>785</v>
      </c>
      <c r="F8" s="571" t="s">
        <v>786</v>
      </c>
      <c r="G8" s="571" t="s">
        <v>787</v>
      </c>
      <c r="H8" s="571" t="s">
        <v>788</v>
      </c>
      <c r="I8" s="571" t="s">
        <v>789</v>
      </c>
      <c r="J8" s="21"/>
      <c r="K8" s="572" t="n">
        <v>1</v>
      </c>
      <c r="L8" s="573" t="n">
        <v>1</v>
      </c>
    </row>
    <row r="9" customFormat="false" ht="106.5" hidden="false" customHeight="true" outlineLevel="0" collapsed="false">
      <c r="B9" s="571" t="s">
        <v>790</v>
      </c>
      <c r="C9" s="571"/>
      <c r="D9" s="571" t="s">
        <v>791</v>
      </c>
      <c r="E9" s="571" t="s">
        <v>792</v>
      </c>
      <c r="F9" s="571" t="s">
        <v>786</v>
      </c>
      <c r="G9" s="571" t="s">
        <v>793</v>
      </c>
      <c r="H9" s="571" t="s">
        <v>794</v>
      </c>
      <c r="I9" s="571" t="s">
        <v>795</v>
      </c>
      <c r="J9" s="21"/>
      <c r="K9" s="572" t="n">
        <v>2</v>
      </c>
      <c r="L9" s="573" t="n">
        <v>2</v>
      </c>
    </row>
    <row r="10" customFormat="false" ht="196.5" hidden="false" customHeight="true" outlineLevel="0" collapsed="false">
      <c r="B10" s="571" t="s">
        <v>796</v>
      </c>
      <c r="C10" s="571" t="s">
        <v>797</v>
      </c>
      <c r="D10" s="571" t="s">
        <v>798</v>
      </c>
      <c r="E10" s="571" t="s">
        <v>799</v>
      </c>
      <c r="F10" s="571" t="s">
        <v>800</v>
      </c>
      <c r="G10" s="571" t="s">
        <v>801</v>
      </c>
      <c r="H10" s="571" t="s">
        <v>802</v>
      </c>
      <c r="I10" s="571" t="s">
        <v>803</v>
      </c>
      <c r="J10" s="21"/>
      <c r="K10" s="572" t="n">
        <v>3</v>
      </c>
      <c r="L10" s="573" t="n">
        <v>3</v>
      </c>
    </row>
    <row r="11" customFormat="false" ht="72" hidden="false" customHeight="true" outlineLevel="0" collapsed="false">
      <c r="B11" s="571" t="s">
        <v>804</v>
      </c>
      <c r="C11" s="571" t="s">
        <v>805</v>
      </c>
      <c r="D11" s="571" t="s">
        <v>806</v>
      </c>
      <c r="E11" s="571" t="s">
        <v>807</v>
      </c>
      <c r="F11" s="571" t="s">
        <v>808</v>
      </c>
      <c r="G11" s="571" t="s">
        <v>809</v>
      </c>
      <c r="H11" s="571" t="s">
        <v>810</v>
      </c>
      <c r="I11" s="571" t="s">
        <v>811</v>
      </c>
      <c r="J11" s="21"/>
      <c r="K11" s="572" t="n">
        <v>4</v>
      </c>
      <c r="L11" s="573" t="n">
        <v>4</v>
      </c>
    </row>
    <row r="12" customFormat="false" ht="123.75" hidden="false" customHeight="true" outlineLevel="0" collapsed="false">
      <c r="B12" s="571" t="s">
        <v>812</v>
      </c>
      <c r="C12" s="571"/>
      <c r="D12" s="571" t="s">
        <v>813</v>
      </c>
      <c r="E12" s="571" t="s">
        <v>814</v>
      </c>
      <c r="F12" s="571" t="s">
        <v>815</v>
      </c>
      <c r="G12" s="571" t="s">
        <v>816</v>
      </c>
      <c r="H12" s="571" t="s">
        <v>817</v>
      </c>
      <c r="I12" s="571" t="s">
        <v>818</v>
      </c>
      <c r="J12" s="574"/>
      <c r="K12" s="572" t="n">
        <v>5</v>
      </c>
      <c r="L12" s="573" t="n">
        <v>5</v>
      </c>
    </row>
    <row r="13" customFormat="false" ht="163.5" hidden="false" customHeight="true" outlineLevel="0" collapsed="false">
      <c r="B13" s="571" t="s">
        <v>819</v>
      </c>
      <c r="C13" s="571" t="s">
        <v>820</v>
      </c>
      <c r="D13" s="571" t="s">
        <v>821</v>
      </c>
      <c r="E13" s="571" t="s">
        <v>822</v>
      </c>
      <c r="F13" s="571" t="s">
        <v>823</v>
      </c>
      <c r="G13" s="571" t="s">
        <v>824</v>
      </c>
      <c r="H13" s="571" t="s">
        <v>825</v>
      </c>
      <c r="I13" s="571" t="s">
        <v>826</v>
      </c>
      <c r="J13" s="575"/>
      <c r="K13" s="576" t="n">
        <v>6</v>
      </c>
      <c r="L13" s="577" t="n">
        <v>6</v>
      </c>
    </row>
    <row r="14" customFormat="false" ht="39.75" hidden="false" customHeight="true" outlineLevel="0" collapsed="false">
      <c r="B14" s="571"/>
      <c r="C14" s="571"/>
      <c r="D14" s="571"/>
      <c r="E14" s="571"/>
      <c r="F14" s="571"/>
      <c r="G14" s="571"/>
      <c r="H14" s="571"/>
      <c r="I14" s="571"/>
      <c r="J14" s="575"/>
      <c r="K14" s="576"/>
      <c r="L14" s="577"/>
    </row>
    <row r="15" customFormat="false" ht="12.75" hidden="false" customHeight="false" outlineLevel="0" collapsed="false">
      <c r="B15" s="571"/>
      <c r="C15" s="571"/>
      <c r="D15" s="571"/>
      <c r="E15" s="571"/>
      <c r="F15" s="571"/>
      <c r="G15" s="571"/>
      <c r="H15" s="571"/>
      <c r="I15" s="571"/>
      <c r="J15" s="575"/>
      <c r="K15" s="576"/>
      <c r="L15" s="577"/>
    </row>
    <row r="16" customFormat="false" ht="34.5" hidden="false" customHeight="true" outlineLevel="0" collapsed="false">
      <c r="B16" s="571"/>
      <c r="C16" s="571"/>
      <c r="D16" s="571"/>
      <c r="E16" s="571"/>
      <c r="F16" s="571"/>
      <c r="G16" s="571"/>
      <c r="H16" s="571"/>
      <c r="I16" s="571"/>
      <c r="J16" s="575"/>
      <c r="K16" s="576"/>
      <c r="L16" s="577"/>
    </row>
    <row r="17" customFormat="false" ht="22.5" hidden="false" customHeight="true" outlineLevel="0" collapsed="false">
      <c r="B17" s="571"/>
      <c r="C17" s="571"/>
      <c r="D17" s="571"/>
      <c r="E17" s="571"/>
      <c r="F17" s="571"/>
      <c r="G17" s="571"/>
      <c r="H17" s="571"/>
      <c r="I17" s="571"/>
      <c r="J17" s="575"/>
      <c r="K17" s="576"/>
      <c r="L17" s="577"/>
    </row>
    <row r="18" customFormat="false" ht="72" hidden="false" customHeight="true" outlineLevel="0" collapsed="false">
      <c r="B18" s="571"/>
      <c r="C18" s="571"/>
      <c r="D18" s="571"/>
      <c r="E18" s="571"/>
      <c r="F18" s="571"/>
      <c r="G18" s="571"/>
      <c r="H18" s="571"/>
      <c r="I18" s="571"/>
      <c r="J18" s="575"/>
      <c r="K18" s="576"/>
      <c r="L18" s="577"/>
    </row>
    <row r="19" customFormat="false" ht="96" hidden="false" customHeight="true" outlineLevel="0" collapsed="false">
      <c r="B19" s="571" t="s">
        <v>827</v>
      </c>
      <c r="C19" s="571" t="s">
        <v>828</v>
      </c>
      <c r="D19" s="571" t="s">
        <v>829</v>
      </c>
      <c r="E19" s="578" t="s">
        <v>830</v>
      </c>
      <c r="F19" s="571"/>
      <c r="G19" s="571" t="s">
        <v>831</v>
      </c>
      <c r="H19" s="571" t="s">
        <v>832</v>
      </c>
      <c r="I19" s="571" t="s">
        <v>833</v>
      </c>
      <c r="J19" s="575"/>
      <c r="K19" s="572" t="n">
        <v>8</v>
      </c>
      <c r="L19" s="573" t="n">
        <v>7</v>
      </c>
    </row>
    <row r="20" customFormat="false" ht="135" hidden="false" customHeight="true" outlineLevel="0" collapsed="false">
      <c r="B20" s="571" t="s">
        <v>834</v>
      </c>
      <c r="C20" s="571" t="s">
        <v>835</v>
      </c>
      <c r="D20" s="571" t="s">
        <v>836</v>
      </c>
      <c r="E20" s="571" t="s">
        <v>837</v>
      </c>
      <c r="F20" s="571"/>
      <c r="G20" s="571" t="s">
        <v>831</v>
      </c>
      <c r="H20" s="571" t="s">
        <v>838</v>
      </c>
      <c r="I20" s="571" t="s">
        <v>839</v>
      </c>
      <c r="J20" s="575"/>
      <c r="K20" s="572" t="n">
        <v>9</v>
      </c>
      <c r="L20" s="573" t="n">
        <v>8</v>
      </c>
    </row>
    <row r="21" customFormat="false" ht="163.5" hidden="false" customHeight="true" outlineLevel="0" collapsed="false">
      <c r="B21" s="571" t="s">
        <v>840</v>
      </c>
      <c r="C21" s="571" t="s">
        <v>841</v>
      </c>
      <c r="D21" s="571" t="s">
        <v>842</v>
      </c>
      <c r="E21" s="571" t="s">
        <v>843</v>
      </c>
      <c r="F21" s="571" t="s">
        <v>844</v>
      </c>
      <c r="G21" s="571" t="s">
        <v>845</v>
      </c>
      <c r="H21" s="571" t="s">
        <v>846</v>
      </c>
      <c r="I21" s="571" t="s">
        <v>847</v>
      </c>
      <c r="J21" s="575"/>
      <c r="K21" s="572" t="n">
        <v>10</v>
      </c>
      <c r="L21" s="573" t="n">
        <v>9</v>
      </c>
    </row>
    <row r="22" customFormat="false" ht="336.75" hidden="false" customHeight="true" outlineLevel="0" collapsed="false">
      <c r="B22" s="571" t="s">
        <v>848</v>
      </c>
      <c r="C22" s="571"/>
      <c r="D22" s="571" t="s">
        <v>849</v>
      </c>
      <c r="E22" s="579" t="s">
        <v>850</v>
      </c>
      <c r="F22" s="578" t="s">
        <v>851</v>
      </c>
      <c r="G22" s="571"/>
      <c r="H22" s="571"/>
      <c r="I22" s="571"/>
      <c r="J22" s="575"/>
      <c r="K22" s="572" t="n">
        <v>11</v>
      </c>
      <c r="L22" s="573" t="n">
        <v>10</v>
      </c>
    </row>
    <row r="23" customFormat="false" ht="159" hidden="false" customHeight="true" outlineLevel="0" collapsed="false">
      <c r="B23" s="571" t="s">
        <v>852</v>
      </c>
      <c r="C23" s="571"/>
      <c r="D23" s="571" t="s">
        <v>853</v>
      </c>
      <c r="E23" s="571" t="s">
        <v>854</v>
      </c>
      <c r="F23" s="571" t="s">
        <v>855</v>
      </c>
      <c r="G23" s="571" t="s">
        <v>856</v>
      </c>
      <c r="H23" s="571" t="s">
        <v>857</v>
      </c>
      <c r="I23" s="571" t="s">
        <v>858</v>
      </c>
      <c r="J23" s="574"/>
      <c r="K23" s="572" t="n">
        <v>12</v>
      </c>
      <c r="L23" s="573" t="n">
        <v>11</v>
      </c>
    </row>
    <row r="24" customFormat="false" ht="150" hidden="false" customHeight="true" outlineLevel="0" collapsed="false">
      <c r="B24" s="571" t="s">
        <v>859</v>
      </c>
      <c r="C24" s="571" t="s">
        <v>860</v>
      </c>
      <c r="D24" s="571" t="s">
        <v>861</v>
      </c>
      <c r="E24" s="571" t="s">
        <v>862</v>
      </c>
      <c r="F24" s="580" t="s">
        <v>844</v>
      </c>
      <c r="G24" s="571" t="s">
        <v>863</v>
      </c>
      <c r="H24" s="571"/>
      <c r="I24" s="571"/>
      <c r="J24" s="574"/>
      <c r="K24" s="572" t="n">
        <v>13</v>
      </c>
      <c r="L24" s="573" t="n">
        <v>12</v>
      </c>
    </row>
    <row r="25" customFormat="false" ht="129" hidden="false" customHeight="true" outlineLevel="0" collapsed="false">
      <c r="B25" s="571" t="s">
        <v>864</v>
      </c>
      <c r="C25" s="571"/>
      <c r="D25" s="571" t="s">
        <v>865</v>
      </c>
      <c r="E25" s="571" t="s">
        <v>866</v>
      </c>
      <c r="F25" s="571" t="s">
        <v>815</v>
      </c>
      <c r="G25" s="571" t="s">
        <v>867</v>
      </c>
      <c r="H25" s="571" t="s">
        <v>868</v>
      </c>
      <c r="I25" s="571" t="s">
        <v>869</v>
      </c>
      <c r="J25" s="574"/>
      <c r="K25" s="572" t="n">
        <v>15</v>
      </c>
      <c r="L25" s="573" t="n">
        <v>13</v>
      </c>
    </row>
    <row r="26" customFormat="false" ht="105.75" hidden="false" customHeight="true" outlineLevel="0" collapsed="false">
      <c r="B26" s="571" t="s">
        <v>870</v>
      </c>
      <c r="C26" s="571"/>
      <c r="D26" s="571" t="s">
        <v>871</v>
      </c>
      <c r="E26" s="571" t="s">
        <v>872</v>
      </c>
      <c r="F26" s="571" t="s">
        <v>844</v>
      </c>
      <c r="G26" s="571" t="s">
        <v>873</v>
      </c>
      <c r="H26" s="571" t="s">
        <v>874</v>
      </c>
      <c r="I26" s="571" t="s">
        <v>875</v>
      </c>
      <c r="J26" s="574"/>
      <c r="K26" s="572" t="n">
        <v>16</v>
      </c>
      <c r="L26" s="573" t="n">
        <v>14</v>
      </c>
    </row>
    <row r="27" customFormat="false" ht="108" hidden="false" customHeight="true" outlineLevel="0" collapsed="false">
      <c r="B27" s="571" t="s">
        <v>876</v>
      </c>
      <c r="C27" s="571" t="s">
        <v>877</v>
      </c>
      <c r="D27" s="571" t="s">
        <v>878</v>
      </c>
      <c r="E27" s="571" t="s">
        <v>879</v>
      </c>
      <c r="F27" s="571" t="s">
        <v>880</v>
      </c>
      <c r="G27" s="571" t="s">
        <v>881</v>
      </c>
      <c r="H27" s="571" t="s">
        <v>882</v>
      </c>
      <c r="I27" s="571" t="s">
        <v>883</v>
      </c>
      <c r="J27" s="574"/>
      <c r="K27" s="572" t="n">
        <v>18</v>
      </c>
      <c r="L27" s="573" t="n">
        <v>15</v>
      </c>
    </row>
    <row r="28" customFormat="false" ht="69.75" hidden="false" customHeight="true" outlineLevel="0" collapsed="false">
      <c r="B28" s="571" t="s">
        <v>884</v>
      </c>
      <c r="C28" s="571"/>
      <c r="D28" s="571" t="s">
        <v>885</v>
      </c>
      <c r="E28" s="571" t="s">
        <v>886</v>
      </c>
      <c r="F28" s="571" t="s">
        <v>844</v>
      </c>
      <c r="G28" s="571" t="s">
        <v>887</v>
      </c>
      <c r="H28" s="571"/>
      <c r="I28" s="571"/>
      <c r="J28" s="574"/>
      <c r="K28" s="572" t="n">
        <v>19</v>
      </c>
      <c r="L28" s="573" t="n">
        <v>16</v>
      </c>
    </row>
    <row r="29" customFormat="false" ht="108" hidden="false" customHeight="true" outlineLevel="0" collapsed="false">
      <c r="B29" s="571" t="s">
        <v>888</v>
      </c>
      <c r="C29" s="571" t="s">
        <v>889</v>
      </c>
      <c r="D29" s="571" t="s">
        <v>890</v>
      </c>
      <c r="E29" s="571" t="s">
        <v>891</v>
      </c>
      <c r="F29" s="571" t="s">
        <v>844</v>
      </c>
      <c r="G29" s="571" t="s">
        <v>892</v>
      </c>
      <c r="H29" s="571" t="s">
        <v>893</v>
      </c>
      <c r="I29" s="571" t="s">
        <v>894</v>
      </c>
      <c r="J29" s="574"/>
      <c r="K29" s="572" t="n">
        <v>24</v>
      </c>
      <c r="L29" s="573" t="n">
        <v>17</v>
      </c>
    </row>
    <row r="30" customFormat="false" ht="12.75" hidden="false" customHeight="false" outlineLevel="0" collapsed="false">
      <c r="B30" s="581"/>
      <c r="C30" s="582"/>
      <c r="D30" s="582"/>
      <c r="E30" s="581"/>
      <c r="F30" s="581"/>
      <c r="G30" s="581"/>
      <c r="H30" s="581"/>
      <c r="I30" s="581"/>
    </row>
    <row r="31" customFormat="false" ht="12.75" hidden="false" customHeight="false" outlineLevel="0" collapsed="false">
      <c r="B31" s="581"/>
      <c r="C31" s="583" t="n">
        <v>1</v>
      </c>
      <c r="D31" s="582" t="s">
        <v>782</v>
      </c>
      <c r="F31" s="581"/>
      <c r="G31" s="581"/>
      <c r="H31" s="581"/>
      <c r="I31" s="581"/>
    </row>
    <row r="32" customFormat="false" ht="12.75" hidden="false" customHeight="false" outlineLevel="0" collapsed="false">
      <c r="C32" s="583"/>
      <c r="D32" s="582" t="s">
        <v>895</v>
      </c>
    </row>
    <row r="33" customFormat="false" ht="12.75" hidden="false" customHeight="false" outlineLevel="0" collapsed="false">
      <c r="C33" s="583"/>
      <c r="D33" s="582" t="s">
        <v>896</v>
      </c>
    </row>
    <row r="34" customFormat="false" ht="12.75" hidden="false" customHeight="false" outlineLevel="0" collapsed="false">
      <c r="C34" s="583"/>
      <c r="D34" s="582" t="s">
        <v>897</v>
      </c>
    </row>
    <row r="35" customFormat="false" ht="12.75" hidden="false" customHeight="false" outlineLevel="0" collapsed="false">
      <c r="C35" s="583"/>
      <c r="D35" s="582" t="s">
        <v>898</v>
      </c>
    </row>
    <row r="36" customFormat="false" ht="12.75" hidden="false" customHeight="false" outlineLevel="0" collapsed="false">
      <c r="C36" s="583"/>
      <c r="D36" s="573" t="n">
        <v>3</v>
      </c>
    </row>
    <row r="37" customFormat="false" ht="12.75" hidden="false" customHeight="false" outlineLevel="0" collapsed="false">
      <c r="C37" s="583" t="n">
        <v>2</v>
      </c>
      <c r="D37" s="582" t="s">
        <v>790</v>
      </c>
    </row>
    <row r="38" customFormat="false" ht="12.75" hidden="false" customHeight="false" outlineLevel="0" collapsed="false">
      <c r="C38" s="583"/>
      <c r="D38" s="582" t="s">
        <v>895</v>
      </c>
    </row>
    <row r="39" customFormat="false" ht="12.75" hidden="false" customHeight="false" outlineLevel="0" collapsed="false">
      <c r="C39" s="583"/>
      <c r="D39" s="582" t="s">
        <v>896</v>
      </c>
    </row>
    <row r="40" customFormat="false" ht="12.75" hidden="false" customHeight="false" outlineLevel="0" collapsed="false">
      <c r="C40" s="583"/>
      <c r="D40" s="582" t="s">
        <v>897</v>
      </c>
    </row>
    <row r="41" customFormat="false" ht="12.75" hidden="false" customHeight="false" outlineLevel="0" collapsed="false">
      <c r="C41" s="583"/>
      <c r="D41" s="582" t="s">
        <v>898</v>
      </c>
    </row>
    <row r="42" customFormat="false" ht="12.75" hidden="false" customHeight="false" outlineLevel="0" collapsed="false">
      <c r="C42" s="583"/>
      <c r="D42" s="573" t="n">
        <v>3</v>
      </c>
    </row>
    <row r="43" customFormat="false" ht="24" hidden="false" customHeight="false" outlineLevel="0" collapsed="false">
      <c r="C43" s="583" t="n">
        <v>3</v>
      </c>
      <c r="D43" s="582" t="s">
        <v>796</v>
      </c>
    </row>
    <row r="44" customFormat="false" ht="12.75" hidden="false" customHeight="false" outlineLevel="0" collapsed="false">
      <c r="C44" s="583"/>
      <c r="D44" s="582" t="s">
        <v>895</v>
      </c>
    </row>
    <row r="45" customFormat="false" ht="12.75" hidden="false" customHeight="false" outlineLevel="0" collapsed="false">
      <c r="C45" s="583"/>
      <c r="D45" s="582" t="s">
        <v>896</v>
      </c>
    </row>
    <row r="46" customFormat="false" ht="12.75" hidden="false" customHeight="false" outlineLevel="0" collapsed="false">
      <c r="C46" s="583"/>
      <c r="D46" s="582" t="s">
        <v>897</v>
      </c>
    </row>
    <row r="47" customFormat="false" ht="12.75" hidden="false" customHeight="false" outlineLevel="0" collapsed="false">
      <c r="C47" s="583"/>
      <c r="D47" s="582" t="s">
        <v>898</v>
      </c>
    </row>
    <row r="48" customFormat="false" ht="12.75" hidden="false" customHeight="false" outlineLevel="0" collapsed="false">
      <c r="C48" s="583"/>
      <c r="D48" s="573" t="n">
        <v>3</v>
      </c>
    </row>
    <row r="49" customFormat="false" ht="12.75" hidden="false" customHeight="false" outlineLevel="0" collapsed="false">
      <c r="C49" s="583" t="n">
        <v>4</v>
      </c>
      <c r="D49" s="582" t="s">
        <v>804</v>
      </c>
    </row>
    <row r="50" customFormat="false" ht="12.75" hidden="false" customHeight="false" outlineLevel="0" collapsed="false">
      <c r="C50" s="583"/>
      <c r="D50" s="582" t="s">
        <v>895</v>
      </c>
    </row>
    <row r="51" customFormat="false" ht="12.75" hidden="false" customHeight="false" outlineLevel="0" collapsed="false">
      <c r="C51" s="583"/>
      <c r="D51" s="582" t="s">
        <v>896</v>
      </c>
    </row>
    <row r="52" customFormat="false" ht="12.75" hidden="false" customHeight="false" outlineLevel="0" collapsed="false">
      <c r="C52" s="583"/>
      <c r="D52" s="582" t="s">
        <v>897</v>
      </c>
    </row>
    <row r="53" customFormat="false" ht="12.75" hidden="false" customHeight="false" outlineLevel="0" collapsed="false">
      <c r="C53" s="583"/>
      <c r="D53" s="582" t="s">
        <v>898</v>
      </c>
    </row>
    <row r="54" customFormat="false" ht="12.75" hidden="false" customHeight="false" outlineLevel="0" collapsed="false">
      <c r="C54" s="583"/>
      <c r="D54" s="573" t="n">
        <v>3</v>
      </c>
    </row>
    <row r="55" customFormat="false" ht="24" hidden="false" customHeight="false" outlineLevel="0" collapsed="false">
      <c r="C55" s="583" t="n">
        <v>5</v>
      </c>
      <c r="D55" s="582" t="s">
        <v>812</v>
      </c>
    </row>
    <row r="56" customFormat="false" ht="12.75" hidden="false" customHeight="false" outlineLevel="0" collapsed="false">
      <c r="C56" s="583"/>
      <c r="D56" s="582" t="s">
        <v>895</v>
      </c>
    </row>
    <row r="57" customFormat="false" ht="12.75" hidden="false" customHeight="false" outlineLevel="0" collapsed="false">
      <c r="C57" s="583"/>
      <c r="D57" s="582" t="s">
        <v>896</v>
      </c>
    </row>
    <row r="58" customFormat="false" ht="12.75" hidden="false" customHeight="false" outlineLevel="0" collapsed="false">
      <c r="C58" s="583"/>
      <c r="D58" s="582" t="s">
        <v>897</v>
      </c>
    </row>
    <row r="59" customFormat="false" ht="12.75" hidden="false" customHeight="false" outlineLevel="0" collapsed="false">
      <c r="C59" s="583"/>
      <c r="D59" s="582" t="s">
        <v>898</v>
      </c>
    </row>
    <row r="60" customFormat="false" ht="12.75" hidden="false" customHeight="false" outlineLevel="0" collapsed="false">
      <c r="C60" s="583"/>
      <c r="D60" s="573" t="n">
        <v>3</v>
      </c>
    </row>
    <row r="61" customFormat="false" ht="12.75" hidden="false" customHeight="false" outlineLevel="0" collapsed="false">
      <c r="C61" s="583" t="n">
        <v>6</v>
      </c>
      <c r="D61" s="584" t="s">
        <v>819</v>
      </c>
    </row>
    <row r="62" customFormat="false" ht="12.75" hidden="false" customHeight="false" outlineLevel="0" collapsed="false">
      <c r="C62" s="583"/>
      <c r="D62" s="582" t="s">
        <v>895</v>
      </c>
    </row>
    <row r="63" customFormat="false" ht="12.75" hidden="false" customHeight="false" outlineLevel="0" collapsed="false">
      <c r="C63" s="583"/>
      <c r="D63" s="582" t="s">
        <v>896</v>
      </c>
    </row>
    <row r="64" customFormat="false" ht="12.75" hidden="false" customHeight="false" outlineLevel="0" collapsed="false">
      <c r="C64" s="583"/>
      <c r="D64" s="582" t="s">
        <v>897</v>
      </c>
    </row>
    <row r="65" customFormat="false" ht="12.75" hidden="false" customHeight="false" outlineLevel="0" collapsed="false">
      <c r="C65" s="583"/>
      <c r="D65" s="582" t="s">
        <v>898</v>
      </c>
    </row>
    <row r="66" customFormat="false" ht="12.75" hidden="false" customHeight="false" outlineLevel="0" collapsed="false">
      <c r="C66" s="583"/>
      <c r="D66" s="573" t="n">
        <v>3</v>
      </c>
    </row>
    <row r="67" customFormat="false" ht="12.75" hidden="false" customHeight="false" outlineLevel="0" collapsed="false">
      <c r="C67" s="583" t="n">
        <v>7</v>
      </c>
      <c r="D67" s="582" t="s">
        <v>827</v>
      </c>
    </row>
    <row r="68" customFormat="false" ht="12.75" hidden="false" customHeight="false" outlineLevel="0" collapsed="false">
      <c r="C68" s="583"/>
      <c r="D68" s="582" t="s">
        <v>895</v>
      </c>
    </row>
    <row r="69" customFormat="false" ht="12.75" hidden="false" customHeight="false" outlineLevel="0" collapsed="false">
      <c r="C69" s="583"/>
      <c r="D69" s="582" t="s">
        <v>896</v>
      </c>
    </row>
    <row r="70" customFormat="false" ht="12.75" hidden="false" customHeight="false" outlineLevel="0" collapsed="false">
      <c r="C70" s="583"/>
      <c r="D70" s="582" t="s">
        <v>897</v>
      </c>
    </row>
    <row r="71" customFormat="false" ht="12.75" hidden="false" customHeight="false" outlineLevel="0" collapsed="false">
      <c r="C71" s="583"/>
      <c r="D71" s="582" t="s">
        <v>898</v>
      </c>
    </row>
    <row r="72" customFormat="false" ht="12.75" hidden="false" customHeight="false" outlineLevel="0" collapsed="false">
      <c r="C72" s="583"/>
      <c r="D72" s="573" t="n">
        <v>3</v>
      </c>
    </row>
    <row r="73" customFormat="false" ht="12.75" hidden="false" customHeight="false" outlineLevel="0" collapsed="false">
      <c r="C73" s="583" t="n">
        <v>8</v>
      </c>
      <c r="D73" s="582" t="s">
        <v>834</v>
      </c>
    </row>
    <row r="74" customFormat="false" ht="12.75" hidden="false" customHeight="false" outlineLevel="0" collapsed="false">
      <c r="C74" s="583"/>
      <c r="D74" s="582" t="s">
        <v>895</v>
      </c>
    </row>
    <row r="75" customFormat="false" ht="12.75" hidden="false" customHeight="false" outlineLevel="0" collapsed="false">
      <c r="C75" s="583"/>
      <c r="D75" s="582" t="s">
        <v>896</v>
      </c>
    </row>
    <row r="76" customFormat="false" ht="12.75" hidden="false" customHeight="false" outlineLevel="0" collapsed="false">
      <c r="C76" s="583"/>
      <c r="D76" s="582" t="s">
        <v>897</v>
      </c>
    </row>
    <row r="77" customFormat="false" ht="12.75" hidden="false" customHeight="false" outlineLevel="0" collapsed="false">
      <c r="C77" s="583"/>
      <c r="D77" s="582" t="s">
        <v>898</v>
      </c>
    </row>
    <row r="78" customFormat="false" ht="12.75" hidden="false" customHeight="false" outlineLevel="0" collapsed="false">
      <c r="C78" s="583"/>
      <c r="D78" s="573" t="n">
        <v>3</v>
      </c>
    </row>
    <row r="79" customFormat="false" ht="12.75" hidden="false" customHeight="false" outlineLevel="0" collapsed="false">
      <c r="C79" s="583" t="n">
        <v>9</v>
      </c>
      <c r="D79" s="582" t="s">
        <v>840</v>
      </c>
    </row>
    <row r="80" customFormat="false" ht="12.75" hidden="false" customHeight="false" outlineLevel="0" collapsed="false">
      <c r="C80" s="583"/>
      <c r="D80" s="582" t="s">
        <v>895</v>
      </c>
    </row>
    <row r="81" customFormat="false" ht="12.75" hidden="false" customHeight="false" outlineLevel="0" collapsed="false">
      <c r="C81" s="583"/>
      <c r="D81" s="582" t="s">
        <v>896</v>
      </c>
    </row>
    <row r="82" customFormat="false" ht="12.75" hidden="false" customHeight="false" outlineLevel="0" collapsed="false">
      <c r="C82" s="583"/>
      <c r="D82" s="582" t="s">
        <v>897</v>
      </c>
    </row>
    <row r="83" customFormat="false" ht="12.75" hidden="false" customHeight="false" outlineLevel="0" collapsed="false">
      <c r="C83" s="583"/>
      <c r="D83" s="582" t="s">
        <v>898</v>
      </c>
    </row>
    <row r="84" customFormat="false" ht="12.75" hidden="false" customHeight="false" outlineLevel="0" collapsed="false">
      <c r="C84" s="583"/>
      <c r="D84" s="573" t="n">
        <v>3</v>
      </c>
    </row>
    <row r="85" customFormat="false" ht="12.75" hidden="false" customHeight="false" outlineLevel="0" collapsed="false">
      <c r="C85" s="583" t="n">
        <v>10</v>
      </c>
      <c r="D85" s="582" t="s">
        <v>848</v>
      </c>
    </row>
    <row r="86" customFormat="false" ht="12.75" hidden="false" customHeight="false" outlineLevel="0" collapsed="false">
      <c r="C86" s="583"/>
      <c r="D86" s="582" t="s">
        <v>895</v>
      </c>
    </row>
    <row r="87" customFormat="false" ht="12.75" hidden="false" customHeight="false" outlineLevel="0" collapsed="false">
      <c r="C87" s="583"/>
      <c r="D87" s="582" t="s">
        <v>896</v>
      </c>
    </row>
    <row r="88" customFormat="false" ht="12.75" hidden="false" customHeight="false" outlineLevel="0" collapsed="false">
      <c r="C88" s="583"/>
      <c r="D88" s="582" t="s">
        <v>897</v>
      </c>
    </row>
    <row r="89" customFormat="false" ht="12.75" hidden="false" customHeight="false" outlineLevel="0" collapsed="false">
      <c r="C89" s="583"/>
      <c r="D89" s="582" t="s">
        <v>898</v>
      </c>
    </row>
    <row r="90" customFormat="false" ht="12.75" hidden="false" customHeight="false" outlineLevel="0" collapsed="false">
      <c r="C90" s="583"/>
      <c r="D90" s="573" t="n">
        <v>3</v>
      </c>
    </row>
    <row r="91" customFormat="false" ht="22.5" hidden="false" customHeight="true" outlineLevel="0" collapsed="false">
      <c r="C91" s="583" t="n">
        <v>11</v>
      </c>
      <c r="D91" s="582" t="s">
        <v>852</v>
      </c>
    </row>
    <row r="92" customFormat="false" ht="12.75" hidden="false" customHeight="false" outlineLevel="0" collapsed="false">
      <c r="C92" s="583"/>
      <c r="D92" s="582" t="s">
        <v>895</v>
      </c>
    </row>
    <row r="93" customFormat="false" ht="12.75" hidden="false" customHeight="false" outlineLevel="0" collapsed="false">
      <c r="C93" s="583"/>
      <c r="D93" s="582" t="s">
        <v>896</v>
      </c>
    </row>
    <row r="94" customFormat="false" ht="12.75" hidden="false" customHeight="false" outlineLevel="0" collapsed="false">
      <c r="C94" s="583"/>
      <c r="D94" s="582" t="s">
        <v>897</v>
      </c>
    </row>
    <row r="95" customFormat="false" ht="12.75" hidden="false" customHeight="false" outlineLevel="0" collapsed="false">
      <c r="C95" s="583"/>
      <c r="D95" s="582" t="s">
        <v>898</v>
      </c>
    </row>
    <row r="96" customFormat="false" ht="12.75" hidden="false" customHeight="false" outlineLevel="0" collapsed="false">
      <c r="C96" s="583"/>
      <c r="D96" s="573" t="n">
        <v>3</v>
      </c>
    </row>
    <row r="97" customFormat="false" ht="12.75" hidden="false" customHeight="false" outlineLevel="0" collapsed="false">
      <c r="C97" s="583" t="n">
        <v>12</v>
      </c>
      <c r="D97" s="582" t="s">
        <v>859</v>
      </c>
    </row>
    <row r="98" customFormat="false" ht="12.75" hidden="false" customHeight="false" outlineLevel="0" collapsed="false">
      <c r="C98" s="583"/>
      <c r="D98" s="582" t="s">
        <v>895</v>
      </c>
    </row>
    <row r="99" customFormat="false" ht="12.75" hidden="false" customHeight="false" outlineLevel="0" collapsed="false">
      <c r="C99" s="583"/>
      <c r="D99" s="582" t="s">
        <v>896</v>
      </c>
    </row>
    <row r="100" customFormat="false" ht="12.75" hidden="false" customHeight="false" outlineLevel="0" collapsed="false">
      <c r="C100" s="583"/>
      <c r="D100" s="582" t="s">
        <v>897</v>
      </c>
    </row>
    <row r="101" customFormat="false" ht="12.75" hidden="false" customHeight="false" outlineLevel="0" collapsed="false">
      <c r="C101" s="583"/>
      <c r="D101" s="582" t="s">
        <v>898</v>
      </c>
    </row>
    <row r="102" customFormat="false" ht="12.75" hidden="false" customHeight="false" outlineLevel="0" collapsed="false">
      <c r="C102" s="583"/>
      <c r="D102" s="573" t="n">
        <v>3</v>
      </c>
    </row>
    <row r="103" customFormat="false" ht="24" hidden="false" customHeight="false" outlineLevel="0" collapsed="false">
      <c r="C103" s="583" t="n">
        <v>13</v>
      </c>
      <c r="D103" s="582" t="s">
        <v>864</v>
      </c>
    </row>
    <row r="104" customFormat="false" ht="12.75" hidden="false" customHeight="false" outlineLevel="0" collapsed="false">
      <c r="C104" s="583"/>
      <c r="D104" s="582" t="s">
        <v>895</v>
      </c>
    </row>
    <row r="105" customFormat="false" ht="12.75" hidden="false" customHeight="false" outlineLevel="0" collapsed="false">
      <c r="C105" s="583"/>
      <c r="D105" s="582" t="s">
        <v>896</v>
      </c>
    </row>
    <row r="106" customFormat="false" ht="12.75" hidden="false" customHeight="false" outlineLevel="0" collapsed="false">
      <c r="C106" s="583"/>
      <c r="D106" s="582" t="s">
        <v>897</v>
      </c>
    </row>
    <row r="107" customFormat="false" ht="12.75" hidden="false" customHeight="false" outlineLevel="0" collapsed="false">
      <c r="C107" s="583"/>
      <c r="D107" s="582" t="s">
        <v>898</v>
      </c>
    </row>
    <row r="108" customFormat="false" ht="12.75" hidden="false" customHeight="false" outlineLevel="0" collapsed="false">
      <c r="C108" s="583"/>
      <c r="D108" s="573" t="n">
        <v>3</v>
      </c>
    </row>
    <row r="109" customFormat="false" ht="12.75" hidden="false" customHeight="false" outlineLevel="0" collapsed="false">
      <c r="C109" s="583" t="n">
        <v>14</v>
      </c>
      <c r="D109" s="582" t="s">
        <v>870</v>
      </c>
    </row>
    <row r="110" customFormat="false" ht="12.75" hidden="false" customHeight="false" outlineLevel="0" collapsed="false">
      <c r="C110" s="583"/>
      <c r="D110" s="582" t="s">
        <v>895</v>
      </c>
    </row>
    <row r="111" customFormat="false" ht="12.75" hidden="false" customHeight="false" outlineLevel="0" collapsed="false">
      <c r="C111" s="583"/>
      <c r="D111" s="582" t="s">
        <v>896</v>
      </c>
    </row>
    <row r="112" customFormat="false" ht="12.75" hidden="false" customHeight="false" outlineLevel="0" collapsed="false">
      <c r="C112" s="583"/>
      <c r="D112" s="582" t="s">
        <v>897</v>
      </c>
    </row>
    <row r="113" customFormat="false" ht="12.75" hidden="false" customHeight="false" outlineLevel="0" collapsed="false">
      <c r="C113" s="583"/>
      <c r="D113" s="582" t="s">
        <v>898</v>
      </c>
    </row>
    <row r="114" customFormat="false" ht="12.75" hidden="false" customHeight="false" outlineLevel="0" collapsed="false">
      <c r="C114" s="583"/>
      <c r="D114" s="573" t="n">
        <v>3</v>
      </c>
    </row>
    <row r="115" customFormat="false" ht="12.75" hidden="false" customHeight="false" outlineLevel="0" collapsed="false">
      <c r="C115" s="583" t="n">
        <v>15</v>
      </c>
      <c r="D115" s="582" t="s">
        <v>876</v>
      </c>
    </row>
    <row r="116" customFormat="false" ht="12.75" hidden="false" customHeight="false" outlineLevel="0" collapsed="false">
      <c r="C116" s="583"/>
      <c r="D116" s="582" t="s">
        <v>895</v>
      </c>
    </row>
    <row r="117" customFormat="false" ht="12.75" hidden="false" customHeight="false" outlineLevel="0" collapsed="false">
      <c r="C117" s="583"/>
      <c r="D117" s="582" t="s">
        <v>896</v>
      </c>
    </row>
    <row r="118" customFormat="false" ht="12.75" hidden="false" customHeight="false" outlineLevel="0" collapsed="false">
      <c r="C118" s="583"/>
      <c r="D118" s="582" t="s">
        <v>897</v>
      </c>
    </row>
    <row r="119" customFormat="false" ht="12.75" hidden="false" customHeight="false" outlineLevel="0" collapsed="false">
      <c r="C119" s="583"/>
      <c r="D119" s="582" t="s">
        <v>898</v>
      </c>
    </row>
    <row r="120" customFormat="false" ht="12.75" hidden="false" customHeight="false" outlineLevel="0" collapsed="false">
      <c r="C120" s="583"/>
      <c r="D120" s="573" t="n">
        <v>3</v>
      </c>
    </row>
    <row r="121" customFormat="false" ht="12.75" hidden="false" customHeight="false" outlineLevel="0" collapsed="false">
      <c r="C121" s="583" t="n">
        <v>16</v>
      </c>
      <c r="D121" s="582" t="s">
        <v>884</v>
      </c>
    </row>
    <row r="122" customFormat="false" ht="12.75" hidden="false" customHeight="false" outlineLevel="0" collapsed="false">
      <c r="C122" s="583"/>
      <c r="D122" s="582" t="s">
        <v>895</v>
      </c>
    </row>
    <row r="123" customFormat="false" ht="12.75" hidden="false" customHeight="false" outlineLevel="0" collapsed="false">
      <c r="C123" s="583"/>
      <c r="D123" s="582" t="s">
        <v>896</v>
      </c>
    </row>
    <row r="124" customFormat="false" ht="12.75" hidden="false" customHeight="false" outlineLevel="0" collapsed="false">
      <c r="C124" s="583"/>
      <c r="D124" s="582" t="s">
        <v>897</v>
      </c>
    </row>
    <row r="125" customFormat="false" ht="12.75" hidden="false" customHeight="false" outlineLevel="0" collapsed="false">
      <c r="C125" s="583"/>
      <c r="D125" s="582" t="s">
        <v>898</v>
      </c>
    </row>
    <row r="126" customFormat="false" ht="12.75" hidden="false" customHeight="false" outlineLevel="0" collapsed="false">
      <c r="C126" s="583"/>
      <c r="D126" s="573" t="n">
        <v>3</v>
      </c>
    </row>
    <row r="127" customFormat="false" ht="24" hidden="false" customHeight="false" outlineLevel="0" collapsed="false">
      <c r="C127" s="583" t="n">
        <v>17</v>
      </c>
      <c r="D127" s="582" t="s">
        <v>888</v>
      </c>
    </row>
    <row r="128" customFormat="false" ht="12.75" hidden="false" customHeight="false" outlineLevel="0" collapsed="false">
      <c r="C128" s="583"/>
      <c r="D128" s="582" t="s">
        <v>895</v>
      </c>
    </row>
    <row r="129" customFormat="false" ht="12.75" hidden="false" customHeight="false" outlineLevel="0" collapsed="false">
      <c r="C129" s="583"/>
      <c r="D129" s="582" t="s">
        <v>896</v>
      </c>
    </row>
    <row r="130" customFormat="false" ht="12.75" hidden="false" customHeight="false" outlineLevel="0" collapsed="false">
      <c r="C130" s="583"/>
      <c r="D130" s="582" t="s">
        <v>897</v>
      </c>
    </row>
    <row r="131" customFormat="false" ht="12.75" hidden="false" customHeight="false" outlineLevel="0" collapsed="false">
      <c r="C131" s="583"/>
      <c r="D131" s="582" t="s">
        <v>898</v>
      </c>
    </row>
    <row r="132" customFormat="false" ht="12.75" hidden="false" customHeight="false" outlineLevel="0" collapsed="false">
      <c r="C132" s="583"/>
      <c r="D132" s="573" t="n">
        <v>3</v>
      </c>
    </row>
  </sheetData>
  <mergeCells count="39">
    <mergeCell ref="L2:O2"/>
    <mergeCell ref="C8:C9"/>
    <mergeCell ref="C11:C12"/>
    <mergeCell ref="B13:B18"/>
    <mergeCell ref="C13:C18"/>
    <mergeCell ref="D13:D18"/>
    <mergeCell ref="E13:E18"/>
    <mergeCell ref="F13:F20"/>
    <mergeCell ref="G13:G18"/>
    <mergeCell ref="H13:H18"/>
    <mergeCell ref="I13:I18"/>
    <mergeCell ref="J13:J18"/>
    <mergeCell ref="K13:K18"/>
    <mergeCell ref="L13:L18"/>
    <mergeCell ref="C21:C23"/>
    <mergeCell ref="G21:G22"/>
    <mergeCell ref="H21:H22"/>
    <mergeCell ref="I21:I22"/>
    <mergeCell ref="C24:C26"/>
    <mergeCell ref="G24:I24"/>
    <mergeCell ref="C27:C28"/>
    <mergeCell ref="G28:I28"/>
    <mergeCell ref="C31:C36"/>
    <mergeCell ref="C37:C42"/>
    <mergeCell ref="C43:C48"/>
    <mergeCell ref="C49:C54"/>
    <mergeCell ref="C55:C60"/>
    <mergeCell ref="C61:C66"/>
    <mergeCell ref="C67:C72"/>
    <mergeCell ref="C73:C78"/>
    <mergeCell ref="C79:C84"/>
    <mergeCell ref="C85:C90"/>
    <mergeCell ref="C91:C96"/>
    <mergeCell ref="C97:C102"/>
    <mergeCell ref="C103:C108"/>
    <mergeCell ref="C109:C114"/>
    <mergeCell ref="C115:C120"/>
    <mergeCell ref="C121:C126"/>
    <mergeCell ref="C127:C13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AA34"/>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I25" activeCellId="0" sqref="I25"/>
    </sheetView>
  </sheetViews>
  <sheetFormatPr defaultColWidth="11.43359375" defaultRowHeight="12.75" zeroHeight="false" outlineLevelRow="0" outlineLevelCol="0"/>
  <cols>
    <col collapsed="false" customWidth="true" hidden="false" outlineLevel="0" max="1" min="1" style="504" width="9.29"/>
    <col collapsed="false" customWidth="true" hidden="false" outlineLevel="0" max="2" min="2" style="504" width="38.43"/>
    <col collapsed="false" customWidth="true" hidden="false" outlineLevel="0" max="3" min="3" style="504" width="13.01"/>
    <col collapsed="false" customWidth="true" hidden="false" outlineLevel="0" max="4" min="4" style="504" width="22.43"/>
    <col collapsed="false" customWidth="true" hidden="false" outlineLevel="0" max="5" min="5" style="504" width="14.28"/>
    <col collapsed="false" customWidth="true" hidden="false" outlineLevel="0" max="6" min="6" style="504" width="9.71"/>
    <col collapsed="false" customWidth="false" hidden="false" outlineLevel="0" max="7" min="7" style="504" width="11.42"/>
    <col collapsed="false" customWidth="true" hidden="false" outlineLevel="0" max="8" min="8" style="504" width="17"/>
    <col collapsed="false" customWidth="true" hidden="false" outlineLevel="0" max="9" min="9" style="504" width="16.42"/>
    <col collapsed="false" customWidth="true" hidden="false" outlineLevel="0" max="10" min="10" style="504" width="25.42"/>
    <col collapsed="false" customWidth="true" hidden="false" outlineLevel="0" max="11" min="11" style="504" width="14.43"/>
    <col collapsed="false" customWidth="true" hidden="false" outlineLevel="0" max="12" min="12" style="504" width="11.99"/>
    <col collapsed="false" customWidth="true" hidden="false" outlineLevel="0" max="13" min="13" style="504" width="25.42"/>
    <col collapsed="false" customWidth="false" hidden="false" outlineLevel="0" max="1024" min="14" style="504" width="11.42"/>
  </cols>
  <sheetData>
    <row r="1" customFormat="false" ht="12.75" hidden="false" customHeight="false" outlineLevel="0" collapsed="false">
      <c r="A1" s="559" t="s">
        <v>745</v>
      </c>
    </row>
    <row r="2" customFormat="false" ht="15" hidden="false" customHeight="false" outlineLevel="0" collapsed="false">
      <c r="A2" s="560" t="s">
        <v>899</v>
      </c>
      <c r="B2" s="561" t="s">
        <v>900</v>
      </c>
    </row>
    <row r="3" customFormat="false" ht="13.5" hidden="false" customHeight="false" outlineLevel="0" collapsed="false"/>
    <row r="4" customFormat="false" ht="15.75" hidden="false" customHeight="false" outlineLevel="0" collapsed="false">
      <c r="A4" s="585"/>
      <c r="B4" s="586" t="s">
        <v>753</v>
      </c>
      <c r="C4" s="587" t="s">
        <v>901</v>
      </c>
      <c r="D4" s="587" t="s">
        <v>902</v>
      </c>
      <c r="E4" s="587" t="s">
        <v>903</v>
      </c>
      <c r="F4" s="587" t="s">
        <v>904</v>
      </c>
      <c r="H4" s="521" t="s">
        <v>16</v>
      </c>
      <c r="I4" s="521"/>
      <c r="J4" s="521"/>
      <c r="K4" s="521"/>
    </row>
    <row r="5" customFormat="false" ht="15" hidden="false" customHeight="false" outlineLevel="0" collapsed="false">
      <c r="A5" s="585"/>
      <c r="B5" s="588" t="s">
        <v>782</v>
      </c>
      <c r="C5" s="587" t="n">
        <f aca="false">IF('A.XV. RPS (DetalhadoI)'!D36=1,'A.XV. RPS (Base Num)'!B3,IF('A.XV. RPS (DetalhadoI)'!D36=2,'A.XV. RPS (Base Num)'!D3,IF('A.XV. RPS (DetalhadoI)'!D36=3,'A.XV. RPS (Base Num)'!F3,'A.XV. RPS (Base Num)'!H3)))</f>
        <v>0.717908465488589</v>
      </c>
      <c r="D5" s="589" t="n">
        <f aca="false">IF('A.XV. RPS (DetalhadoI)'!D36=1,0,IF('A.XV. RPS (DetalhadoI)'!D36=2,'A.XV. RPS (Base Num)'!E3,IF('A.XV. RPS (DetalhadoI)'!D36=3,'A.XV. RPS (Base Num)'!G3,'A.XV. RPS (Base Num)'!I3)))</f>
        <v>0.22</v>
      </c>
      <c r="E5" s="590" t="n">
        <f aca="false">D5*C5/1.64</f>
        <v>0.0963047941509083</v>
      </c>
      <c r="F5" s="590" t="n">
        <f aca="false">E5^2</f>
        <v>0.00927461337644883</v>
      </c>
      <c r="H5" s="524"/>
      <c r="I5" s="525"/>
      <c r="J5" s="525"/>
      <c r="K5" s="563"/>
    </row>
    <row r="6" customFormat="false" ht="15" hidden="false" customHeight="false" outlineLevel="0" collapsed="false">
      <c r="A6" s="585"/>
      <c r="B6" s="588" t="s">
        <v>790</v>
      </c>
      <c r="C6" s="587" t="n">
        <f aca="false">IF('A.XV. RPS (DetalhadoI)'!D42=1,'A.XV. RPS (Base Num)'!B4,IF('A.XV. RPS (DetalhadoI)'!D42=2,'A.XV. RPS (Base Num)'!D4,IF('A.XV. RPS (DetalhadoI)'!D42=3,'A.XV. RPS (Base Num)'!F4,'A.XV. RPS (Base Num)'!H4)))</f>
        <v>2.27545322873558</v>
      </c>
      <c r="D6" s="589" t="n">
        <f aca="false">IF('A.XV. RPS (DetalhadoI)'!D42=1,0,IF('A.XV. RPS (DetalhadoI)'!D42=2,'A.XV. RPS (Base Num)'!E4,IF('A.XV. RPS (DetalhadoI)'!D42=3,'A.XV. RPS (Base Num)'!G4,'A.XV. RPS (Base Num)'!I4)))</f>
        <v>0.15</v>
      </c>
      <c r="E6" s="590" t="n">
        <f aca="false">D6*C6/1.64</f>
        <v>0.20812072214045</v>
      </c>
      <c r="F6" s="590" t="n">
        <f aca="false">E6^2</f>
        <v>0.0433142349842622</v>
      </c>
      <c r="H6" s="529"/>
      <c r="I6" s="21"/>
      <c r="J6" s="565" t="s">
        <v>18</v>
      </c>
      <c r="K6" s="566"/>
    </row>
    <row r="7" customFormat="false" ht="24" hidden="false" customHeight="false" outlineLevel="0" collapsed="false">
      <c r="A7" s="585"/>
      <c r="B7" s="591" t="s">
        <v>796</v>
      </c>
      <c r="C7" s="587" t="n">
        <f aca="false">IF('A.XV. RPS (DetalhadoI)'!D48=1,'A.XV. RPS (Base Num)'!B5,IF('A.XV. RPS (DetalhadoI)'!D48=2,'A.XV. RPS (Base Num)'!D5,IF('A.XV. RPS (DetalhadoI)'!D48=3,'A.XV. RPS (Base Num)'!F5,'A.XV. RPS (Base Num)'!H5)))</f>
        <v>60.5970277833698</v>
      </c>
      <c r="D7" s="589" t="n">
        <f aca="false">IF('A.XV. RPS (DetalhadoI)'!D48=1,0,IF('A.XV. RPS (DetalhadoI)'!D48=2,'A.XV. RPS (Base Num)'!E5,IF('A.XV. RPS (DetalhadoI)'!D48=3,'A.XV. RPS (Base Num)'!G5,'A.XV. RPS (Base Num)'!I5)))</f>
        <v>0.06</v>
      </c>
      <c r="E7" s="590" t="n">
        <f aca="false">D7*C7/1.64</f>
        <v>2.2169644310989</v>
      </c>
      <c r="F7" s="590" t="n">
        <f aca="false">E7^2</f>
        <v>4.91493128875765</v>
      </c>
      <c r="H7" s="529"/>
      <c r="I7" s="27"/>
      <c r="J7" s="565" t="s">
        <v>20</v>
      </c>
      <c r="K7" s="566"/>
    </row>
    <row r="8" customFormat="false" ht="15" hidden="false" customHeight="false" outlineLevel="0" collapsed="false">
      <c r="A8" s="585"/>
      <c r="B8" s="592" t="s">
        <v>804</v>
      </c>
      <c r="C8" s="587" t="n">
        <f aca="false">IF('A.XV. RPS (DetalhadoI)'!D54=1,'A.XV. RPS (Base Num)'!B6,IF('A.XV. RPS (DetalhadoI)'!D54=2,'A.XV. RPS (Base Num)'!F6,IF('A.XV. RPS (DetalhadoI)'!D54=3,'A.XV. RPS (Base Num)'!F6,'A.XV. RPS (Base Num)'!H6)))</f>
        <v>0.717908465488589</v>
      </c>
      <c r="D8" s="589" t="n">
        <f aca="false">IF('A.XV. RPS (DetalhadoI)'!D54=1,0,IF('A.XV. RPS (DetalhadoI)'!D54=2,'A.XV. RPS (Base Num)'!E6,IF('A.XV. RPS (DetalhadoI)'!D54=3,'A.XV. RPS (Base Num)'!G6,'A.XV. RPS (Base Num)'!I6)))</f>
        <v>0.07</v>
      </c>
      <c r="E8" s="590" t="n">
        <f aca="false">D8*C8/1.64</f>
        <v>0.0306424345025617</v>
      </c>
      <c r="F8" s="590" t="n">
        <f aca="false">E8^2</f>
        <v>0.000938958792243787</v>
      </c>
      <c r="H8" s="529"/>
      <c r="I8" s="28"/>
      <c r="J8" s="565" t="s">
        <v>22</v>
      </c>
      <c r="K8" s="566"/>
    </row>
    <row r="9" customFormat="false" ht="15.75" hidden="false" customHeight="false" outlineLevel="0" collapsed="false">
      <c r="A9" s="585"/>
      <c r="B9" s="592" t="s">
        <v>812</v>
      </c>
      <c r="C9" s="587" t="n">
        <f aca="false">IF('A.XV. RPS (DetalhadoI)'!D60=1,'A.XV. RPS (Base Num)'!B7,IF('A.XV. RPS (DetalhadoI)'!D60=2,'A.XV. RPS (Base Num)'!D7,IF('A.XV. RPS (DetalhadoI)'!D60=3,'A.XV. RPS (Base Num)'!F7,'A.XV. RPS (Base Num)'!H7)))</f>
        <v>27.7645736870285</v>
      </c>
      <c r="D9" s="589" t="n">
        <f aca="false">IF('A.XV. RPS (DetalhadoI)'!D60=1,0,IF('A.XV. RPS (DetalhadoI)'!D60=2,'A.XV. RPS (Base Num)'!E7,IF('A.XV. RPS (DetalhadoI)'!D60=3,'A.XV. RPS (Base Num)'!G7,'A.XV. RPS (Base Num)'!I7)))</f>
        <v>0.00694060936800001</v>
      </c>
      <c r="E9" s="590" t="n">
        <f aca="false">D9*C9/1.64</f>
        <v>0.11750186599434</v>
      </c>
      <c r="F9" s="590" t="n">
        <f aca="false">E9^2</f>
        <v>0.0138066885121517</v>
      </c>
      <c r="H9" s="536"/>
      <c r="I9" s="537"/>
      <c r="J9" s="537"/>
      <c r="K9" s="570"/>
    </row>
    <row r="10" customFormat="false" ht="12.75" hidden="false" customHeight="false" outlineLevel="0" collapsed="false">
      <c r="A10" s="585"/>
      <c r="B10" s="592" t="s">
        <v>819</v>
      </c>
      <c r="C10" s="587" t="n">
        <f aca="false">IF('A.XV. RPS (DetalhadoI)'!D66=1,'A.XV. RPS (Base Num)'!B8,IF('A.XV. RPS (DetalhadoI)'!D66=2,'A.XV. RPS (Base Num)'!D8,IF('A.XV. RPS (DetalhadoI)'!D66=3,'A.XV. RPS (Base Num)'!F8,'A.XV. RPS (Base Num)'!H8)))</f>
        <v>100</v>
      </c>
      <c r="D10" s="589" t="n">
        <f aca="false">IF('A.XV. RPS (DetalhadoI)'!D66=1,0,IF('A.XV. RPS (DetalhadoI)'!D66=2,'A.XV. RPS (Base Num)'!E8,IF('A.XV. RPS (DetalhadoI)'!D66=3,'A.XV. RPS (Base Num)'!G8,'A.XV. RPS (Base Num)'!I8)))</f>
        <v>0.0557142857142857</v>
      </c>
      <c r="E10" s="590" t="n">
        <f aca="false">D10*C10/1.64</f>
        <v>3.39721254355401</v>
      </c>
      <c r="F10" s="590" t="n">
        <f aca="false">E10^2</f>
        <v>11.5410530660807</v>
      </c>
    </row>
    <row r="11" customFormat="false" ht="12.75" hidden="false" customHeight="false" outlineLevel="0" collapsed="false">
      <c r="A11" s="585"/>
      <c r="B11" s="592" t="s">
        <v>827</v>
      </c>
      <c r="C11" s="587" t="e">
        <f aca="false">IF('A.XV. RPS (DetalhadoI)'!D72=1,'A.XV. RPS (Base Num)'!B9,IF('A.XV. RPS (DetalhadoI)'!D72=2,'A.XV. RPS (Base Num)'!D9,IF('A.XV. RPS (DetalhadoI)'!D72=3,'A.XV. RPS (Base Num)'!F9,'A.XV. RPS (Base Num)'!H9)))</f>
        <v>#DIV/0!</v>
      </c>
      <c r="D11" s="589" t="n">
        <f aca="false">IF('A.XV. RPS (DetalhadoI)'!D72=1,0,IF('A.XV. RPS (DetalhadoI)'!D72=2,'A.XV. RPS (Base Num)'!E9,IF('A.XV. RPS (DetalhadoI)'!D72=3,'A.XV. RPS (Base Num)'!G9,'A.XV. RPS (Base Num)'!I9)))</f>
        <v>0.0224</v>
      </c>
      <c r="E11" s="590" t="e">
        <f aca="false">D11*C11/1.64</f>
        <v>#DIV/0!</v>
      </c>
      <c r="F11" s="590" t="e">
        <f aca="false">E11^2</f>
        <v>#DIV/0!</v>
      </c>
      <c r="J11" s="522"/>
      <c r="K11" s="522"/>
      <c r="L11" s="522"/>
      <c r="M11" s="522"/>
      <c r="N11" s="522"/>
      <c r="O11" s="522"/>
      <c r="P11" s="522"/>
      <c r="Q11" s="522"/>
      <c r="R11" s="522"/>
      <c r="S11" s="522"/>
      <c r="T11" s="522"/>
      <c r="U11" s="522"/>
      <c r="V11" s="522"/>
      <c r="W11" s="522"/>
      <c r="X11" s="522"/>
      <c r="Y11" s="522"/>
      <c r="Z11" s="522"/>
      <c r="AA11" s="522"/>
    </row>
    <row r="12" customFormat="false" ht="12.75" hidden="false" customHeight="false" outlineLevel="0" collapsed="false">
      <c r="A12" s="585"/>
      <c r="B12" s="592" t="s">
        <v>834</v>
      </c>
      <c r="C12" s="593" t="e">
        <f aca="false">IF('A.XV. RPS (DetalhadoI)'!D78=1,'A.XV. RPS (Base Num)'!B10,IF('A.XV. RPS (DetalhadoI)'!D78=2,'A.XV. RPS (Base Num)'!D10,IF('A.XV. RPS (DetalhadoI)'!D78=3,'A.XV. RPS (Base Num)'!F10,'A.XV. RPS (Base Num)'!H10)))</f>
        <v>#VALUE!</v>
      </c>
      <c r="D12" s="589" t="n">
        <f aca="false">IF('A.XV. RPS (DetalhadoI)'!D78=1,0,IF('A.XV. RPS (DetalhadoI)'!D78=2,'A.XV. RPS (Base Num)'!E10,IF('A.XV. RPS (DetalhadoI)'!D78=3,'A.XV. RPS (Base Num)'!G10,'A.XV. RPS (Base Num)'!I10)))</f>
        <v>0.0481544</v>
      </c>
      <c r="E12" s="590" t="e">
        <f aca="false">D12*C12/1.64</f>
        <v>#VALUE!</v>
      </c>
      <c r="F12" s="590" t="e">
        <f aca="false">E12^2</f>
        <v>#VALUE!</v>
      </c>
      <c r="J12" s="522"/>
      <c r="K12" s="522"/>
      <c r="L12" s="522"/>
      <c r="M12" s="522"/>
      <c r="N12" s="522"/>
      <c r="O12" s="522"/>
      <c r="P12" s="522"/>
      <c r="Q12" s="522"/>
      <c r="R12" s="522"/>
      <c r="S12" s="522"/>
      <c r="T12" s="522"/>
      <c r="U12" s="522"/>
      <c r="V12" s="522"/>
      <c r="W12" s="522"/>
      <c r="X12" s="522"/>
      <c r="Y12" s="522"/>
      <c r="Z12" s="522"/>
      <c r="AA12" s="522"/>
    </row>
    <row r="13" customFormat="false" ht="12.75" hidden="false" customHeight="false" outlineLevel="0" collapsed="false">
      <c r="A13" s="585"/>
      <c r="B13" s="592" t="s">
        <v>840</v>
      </c>
      <c r="C13" s="587" t="n">
        <f aca="false">IF('A.XV. RPS (DetalhadoI)'!D84=1,'A.XV. RPS (Base Num)'!B11,IF('A.XV. RPS (DetalhadoI)'!D84=2,'A.XV. RPS (Base Num)'!D11,IF('A.XV. RPS (DetalhadoI)'!D84=3,'A.XV. RPS (Base Num)'!F11,'A.XV. RPS (Base Num)'!H11)))</f>
        <v>100</v>
      </c>
      <c r="D13" s="589" t="n">
        <f aca="false">IF('A.XV. RPS (DetalhadoI)'!D84=1,0,IF('A.XV. RPS (DetalhadoI)'!D84=2,'A.XV. RPS (Base Num)'!E11,IF('A.XV. RPS (DetalhadoI)'!D84=3,'A.XV. RPS (Base Num)'!G11,'A.XV. RPS (Base Num)'!I11)))</f>
        <v>0.012</v>
      </c>
      <c r="E13" s="590" t="n">
        <f aca="false">D13*C13/1.64</f>
        <v>0.731707317073171</v>
      </c>
      <c r="F13" s="590" t="n">
        <f aca="false">E13^2</f>
        <v>0.535395597858418</v>
      </c>
      <c r="J13" s="522"/>
      <c r="K13" s="522"/>
      <c r="L13" s="522"/>
      <c r="M13" s="522"/>
      <c r="N13" s="522"/>
      <c r="O13" s="522"/>
      <c r="P13" s="522"/>
      <c r="Q13" s="522"/>
      <c r="R13" s="522"/>
      <c r="S13" s="522"/>
      <c r="T13" s="522"/>
      <c r="U13" s="522"/>
      <c r="V13" s="522"/>
      <c r="W13" s="522"/>
      <c r="X13" s="522"/>
      <c r="Y13" s="522"/>
      <c r="Z13" s="522"/>
      <c r="AA13" s="522"/>
    </row>
    <row r="14" customFormat="false" ht="12.75" hidden="false" customHeight="false" outlineLevel="0" collapsed="false">
      <c r="A14" s="585"/>
      <c r="B14" s="588" t="s">
        <v>848</v>
      </c>
      <c r="C14" s="587" t="n">
        <f aca="false">IF('A.XV. RPS (DetalhadoI)'!D90=1,'A.XV. RPS (Base Num)'!B12,IF('A.XV. RPS (DetalhadoI)'!D90=2,'A.XV. RPS (Base Num)'!D12,IF('A.XV. RPS (DetalhadoI)'!D90=3,'A.XV. RPS (Base Num)'!F12,'A.XV. RPS (Base Num)'!H12)))</f>
        <v>0</v>
      </c>
      <c r="D14" s="589" t="n">
        <f aca="false">IF('A.XV. RPS (DetalhadoI)'!D90=1,0,IF('A.XV. RPS (DetalhadoI)'!D90=2,'A.XV. RPS (Base Num)'!E12,IF('A.XV. RPS (DetalhadoI)'!D90=3,'A.XV. RPS (Base Num)'!G12,'A.XV. RPS (Base Num)'!I12)))</f>
        <v>0.035</v>
      </c>
      <c r="E14" s="590" t="n">
        <f aca="false">D14*C14/1.64</f>
        <v>0</v>
      </c>
      <c r="F14" s="590" t="n">
        <f aca="false">E14^2</f>
        <v>0</v>
      </c>
      <c r="J14" s="522"/>
      <c r="K14" s="522"/>
      <c r="L14" s="522"/>
      <c r="M14" s="522"/>
      <c r="N14" s="522"/>
      <c r="O14" s="522"/>
      <c r="P14" s="522"/>
      <c r="Q14" s="522"/>
      <c r="R14" s="522"/>
      <c r="S14" s="522"/>
      <c r="T14" s="522"/>
      <c r="U14" s="522"/>
      <c r="V14" s="522"/>
      <c r="W14" s="522"/>
      <c r="X14" s="522"/>
      <c r="Y14" s="522"/>
      <c r="Z14" s="522"/>
      <c r="AA14" s="522"/>
    </row>
    <row r="15" customFormat="false" ht="12.75" hidden="false" customHeight="false" outlineLevel="0" collapsed="false">
      <c r="A15" s="585"/>
      <c r="B15" s="592" t="s">
        <v>852</v>
      </c>
      <c r="C15" s="587" t="n">
        <f aca="false">IF('A.XV. RPS (DetalhadoI)'!D96=1,'A.XV. RPS (Base Num)'!B13,IF('A.XV. RPS (DetalhadoI)'!D96=2,'A.XV. RPS (Base Num)'!D13,IF('A.XV. RPS (DetalhadoI)'!D96=3,'A.XV. RPS (Base Num)'!F13,'A.XV. RPS (Base Num)'!H13)))</f>
        <v>100</v>
      </c>
      <c r="D15" s="589" t="n">
        <f aca="false">IF('A.XV. RPS (DetalhadoI)'!D96=1,0,IF('A.XV. RPS (DetalhadoI)'!D96=2,'A.XV. RPS (Base Num)'!E13,IF('A.XV. RPS (DetalhadoI)'!D96=3,'A.XV. RPS (Base Num)'!G13,'A.XV. RPS (Base Num)'!I13)))</f>
        <v>0.035</v>
      </c>
      <c r="E15" s="590" t="n">
        <f aca="false">D15*C15/1.64</f>
        <v>2.13414634146342</v>
      </c>
      <c r="F15" s="590" t="n">
        <f aca="false">E15^2</f>
        <v>4.55458060678169</v>
      </c>
      <c r="J15" s="522"/>
      <c r="K15" s="522"/>
      <c r="L15" s="522"/>
      <c r="M15" s="522"/>
      <c r="N15" s="522"/>
      <c r="O15" s="522"/>
      <c r="P15" s="522"/>
      <c r="Q15" s="522"/>
      <c r="R15" s="522"/>
      <c r="S15" s="522"/>
      <c r="T15" s="522"/>
      <c r="U15" s="522"/>
      <c r="V15" s="522"/>
      <c r="W15" s="522"/>
      <c r="X15" s="522"/>
      <c r="Y15" s="522"/>
      <c r="Z15" s="522"/>
      <c r="AA15" s="522"/>
    </row>
    <row r="16" customFormat="false" ht="12.75" hidden="false" customHeight="false" outlineLevel="0" collapsed="false">
      <c r="A16" s="585"/>
      <c r="B16" s="592" t="s">
        <v>859</v>
      </c>
      <c r="C16" s="587" t="n">
        <f aca="false">IF('A.XV. RPS (DetalhadoI)'!D102=1,'A.XV. RPS (Base Num)'!B14,IF('A.XV. RPS (DetalhadoI)'!D102=2,'A.XV. RPS (Base Num)'!D14,IF('A.XV. RPS (DetalhadoI)'!D102=3,'A.XV. RPS (Base Num)'!F14,'A.XV. RPS (Base Num)'!H14)))</f>
        <v>100</v>
      </c>
      <c r="D16" s="589" t="n">
        <f aca="false">IF('A.XV. RPS (DetalhadoI)'!D102=1,0,IF('A.XV. RPS (DetalhadoI)'!D102=2,'A.XV. RPS (Base Num)'!E14,IF('A.XV. RPS (DetalhadoI)'!D102=3,'A.XV. RPS (Base Num)'!G14,'A.XV. RPS (Base Num)'!I14)))</f>
        <v>0.01</v>
      </c>
      <c r="E16" s="590" t="n">
        <f aca="false">D16*C16/1.64</f>
        <v>0.609756097560976</v>
      </c>
      <c r="F16" s="590" t="n">
        <f aca="false">E16^2</f>
        <v>0.37180249851279</v>
      </c>
      <c r="J16" s="522"/>
      <c r="K16" s="522"/>
      <c r="L16" s="522"/>
      <c r="M16" s="522"/>
      <c r="N16" s="522"/>
      <c r="O16" s="522"/>
      <c r="P16" s="522"/>
      <c r="Q16" s="522"/>
      <c r="R16" s="522"/>
      <c r="S16" s="522"/>
      <c r="T16" s="522"/>
      <c r="U16" s="522"/>
      <c r="V16" s="522"/>
      <c r="W16" s="522"/>
      <c r="X16" s="522"/>
      <c r="Y16" s="522"/>
      <c r="Z16" s="522"/>
      <c r="AA16" s="522"/>
    </row>
    <row r="17" customFormat="false" ht="12.75" hidden="false" customHeight="false" outlineLevel="0" collapsed="false">
      <c r="A17" s="585"/>
      <c r="B17" s="592" t="s">
        <v>864</v>
      </c>
      <c r="C17" s="587" t="n">
        <f aca="false">IF('A.XV. RPS (DetalhadoI)'!D108=1,'A.XV. RPS (Base Num)'!B15,IF('A.XV. RPS (DetalhadoI)'!D108=2,'A.XV. RPS (Base Num)'!D15,IF('A.XV. RPS (DetalhadoI)'!D108=3,'A.XV. RPS (Base Num)'!F15,'A.XV. RPS (Base Num)'!H15)))</f>
        <v>41.4261770729324</v>
      </c>
      <c r="D17" s="589" t="n">
        <f aca="false">IF('A.XV. RPS (DetalhadoI)'!D108=1,0,IF('A.XV. RPS (DetalhadoI)'!D108=2,'A.XV. RPS (Base Num)'!E15,IF('A.XV. RPS (DetalhadoI)'!D108=3,'A.XV. RPS (Base Num)'!G15,'A.XV. RPS (Base Num)'!I15)))</f>
        <v>0.0075</v>
      </c>
      <c r="E17" s="590" t="n">
        <f aca="false">D17*C17/1.64</f>
        <v>0.189448980516459</v>
      </c>
      <c r="F17" s="590" t="n">
        <f aca="false">E17^2</f>
        <v>0.0358909162187256</v>
      </c>
      <c r="J17" s="522"/>
      <c r="K17" s="523"/>
      <c r="L17" s="523"/>
      <c r="M17" s="523"/>
      <c r="N17" s="522"/>
      <c r="O17" s="522"/>
      <c r="P17" s="522"/>
      <c r="Q17" s="522"/>
      <c r="R17" s="522"/>
      <c r="S17" s="522"/>
      <c r="T17" s="522"/>
      <c r="U17" s="522"/>
      <c r="V17" s="522"/>
      <c r="W17" s="522"/>
      <c r="X17" s="522"/>
      <c r="Y17" s="522"/>
      <c r="Z17" s="522"/>
      <c r="AA17" s="522"/>
    </row>
    <row r="18" customFormat="false" ht="12.75" hidden="false" customHeight="false" outlineLevel="0" collapsed="false">
      <c r="A18" s="585"/>
      <c r="B18" s="592" t="s">
        <v>870</v>
      </c>
      <c r="C18" s="587" t="n">
        <f aca="false">IF('A.XV. RPS (DetalhadoI)'!D114=1,'A.XV. RPS (Base Num)'!B16,IF('A.XV. RPS (DetalhadoI)'!D114=2,'A.XV. RPS (Base Num)'!D16,IF('A.XV. RPS (DetalhadoI)'!D114=3,'A.XV. RPS (Base Num)'!F16,'A.XV. RPS (Base Num)'!H16)))</f>
        <v>4.87713256906305</v>
      </c>
      <c r="D18" s="589" t="n">
        <f aca="false">IF('A.XV. RPS (DetalhadoI)'!D114=1,0,IF('A.XV. RPS (DetalhadoI)'!D114=2,'A.XV. RPS (Base Num)'!E16,IF('A.XV. RPS (DetalhadoI)'!D114=3,'A.XV. RPS (Base Num)'!G16,'A.XV. RPS (Base Num)'!I16)))</f>
        <v>0.008</v>
      </c>
      <c r="E18" s="590" t="n">
        <f aca="false">D18*C18/1.64</f>
        <v>0.0237908905807954</v>
      </c>
      <c r="F18" s="590" t="n">
        <f aca="false">E18^2</f>
        <v>0.000566006474627378</v>
      </c>
      <c r="J18" s="522"/>
      <c r="K18" s="523"/>
      <c r="L18" s="523"/>
      <c r="M18" s="523"/>
      <c r="N18" s="522"/>
      <c r="O18" s="522"/>
      <c r="P18" s="522"/>
      <c r="Q18" s="522"/>
      <c r="R18" s="522"/>
      <c r="S18" s="522"/>
      <c r="T18" s="522"/>
      <c r="U18" s="522"/>
      <c r="V18" s="522"/>
      <c r="W18" s="522"/>
      <c r="X18" s="522"/>
      <c r="Y18" s="522"/>
      <c r="Z18" s="522"/>
      <c r="AA18" s="522"/>
    </row>
    <row r="19" customFormat="false" ht="12.75" hidden="false" customHeight="false" outlineLevel="0" collapsed="false">
      <c r="A19" s="585"/>
      <c r="B19" s="592" t="s">
        <v>876</v>
      </c>
      <c r="C19" s="587" t="n">
        <f aca="false">IF('A.XV. RPS (DetalhadoI)'!D120=1,'A.XV. RPS (Base Num)'!B17,IF('A.XV. RPS (DetalhadoI)'!D120=2,'A.XV. RPS (Base Num)'!D17,IF('A.XV. RPS (DetalhadoI)'!D120=3,'A.XV. RPS (Base Num)'!F17,'A.XV. RPS (Base Num)'!H17)))</f>
        <v>36.1531897640928</v>
      </c>
      <c r="D19" s="589" t="n">
        <f aca="false">IF('A.XV. RPS (DetalhadoI)'!D120=1,0,IF('A.XV. RPS (DetalhadoI)'!D120=2,'A.XV. RPS (Base Num)'!E17,IF('A.XV. RPS (DetalhadoI)'!D120=3,'A.XV. RPS (Base Num)'!G17,'A.XV. RPS (Base Num)'!I17)))</f>
        <v>0.0127127616</v>
      </c>
      <c r="E19" s="590" t="n">
        <f aca="false">D19*C19/1.64</f>
        <v>0.280248099116142</v>
      </c>
      <c r="F19" s="590" t="n">
        <f aca="false">E19^2</f>
        <v>0.0785389970582109</v>
      </c>
      <c r="J19" s="522"/>
      <c r="K19" s="523"/>
      <c r="L19" s="523"/>
      <c r="M19" s="523"/>
      <c r="N19" s="522"/>
      <c r="O19" s="522"/>
      <c r="P19" s="522"/>
      <c r="Q19" s="522"/>
      <c r="R19" s="522"/>
      <c r="S19" s="522"/>
      <c r="T19" s="522"/>
      <c r="U19" s="522"/>
      <c r="V19" s="522"/>
      <c r="W19" s="522"/>
      <c r="X19" s="522"/>
      <c r="Y19" s="522"/>
      <c r="Z19" s="522"/>
      <c r="AA19" s="522"/>
    </row>
    <row r="20" customFormat="false" ht="12.75" hidden="false" customHeight="false" outlineLevel="0" collapsed="false">
      <c r="A20" s="585"/>
      <c r="B20" s="592" t="s">
        <v>884</v>
      </c>
      <c r="C20" s="587" t="n">
        <f aca="false">IF('A.XV. RPS (DetalhadoI)'!D126=1,'A.XV. RPS (Base Num)'!B18,IF('A.XV. RPS (DetalhadoI)'!D126=2,'A.XV. RPS (Base Num)'!D18,IF('A.XV. RPS (DetalhadoI)'!D126=3,'A.XV. RPS (Base Num)'!F18,'A.XV. RPS (Base Num)'!H18)))</f>
        <v>100</v>
      </c>
      <c r="D20" s="589" t="n">
        <f aca="false">IF('A.XV. RPS (DetalhadoI)'!D126=1,0,IF('A.XV. RPS (DetalhadoI)'!D126=2,'A.XV. RPS (Base Num)'!E18,IF('A.XV. RPS (DetalhadoI)'!D126=3,'A.XV. RPS (Base Num)'!G18,'A.XV. RPS (Base Num)'!I18)))</f>
        <v>0.0133333333333333</v>
      </c>
      <c r="E20" s="590" t="n">
        <f aca="false">D20*C20/1.64</f>
        <v>0.813008130081301</v>
      </c>
      <c r="F20" s="590" t="n">
        <f aca="false">E20^2</f>
        <v>0.660982219578294</v>
      </c>
      <c r="J20" s="522"/>
      <c r="K20" s="523"/>
      <c r="L20" s="523"/>
      <c r="M20" s="523"/>
      <c r="N20" s="522"/>
      <c r="O20" s="522"/>
      <c r="P20" s="522"/>
      <c r="Q20" s="522"/>
      <c r="R20" s="522"/>
      <c r="S20" s="522"/>
      <c r="T20" s="522"/>
      <c r="U20" s="522"/>
      <c r="V20" s="522"/>
      <c r="W20" s="522"/>
      <c r="X20" s="522"/>
      <c r="Y20" s="522"/>
      <c r="Z20" s="522"/>
      <c r="AA20" s="522"/>
    </row>
    <row r="21" customFormat="false" ht="12.75" hidden="false" customHeight="true" outlineLevel="0" collapsed="false">
      <c r="A21" s="585"/>
      <c r="B21" s="592" t="s">
        <v>888</v>
      </c>
      <c r="C21" s="587" t="n">
        <f aca="false">IF('A.XV. RPS (DetalhadoI)'!D132=1,'A.XV. RPS (Base Num)'!B19,IF('A.XV. RPS (DetalhadoI)'!D132=2,'A.XV. RPS (Base Num)'!D19,IF('A.XV. RPS (DetalhadoI)'!D132=3,'A.XV. RPS (Base Num)'!F19,'A.XV. RPS (Base Num)'!H19)))</f>
        <v>4.2924153334985</v>
      </c>
      <c r="D21" s="589" t="n">
        <f aca="false">IF('A.XV. RPS (DetalhadoI)'!D132=1,0,IF('A.XV. RPS (DetalhadoI)'!D132=2,'A.XV. RPS (Base Num)'!E19,IF('A.XV. RPS (DetalhadoI)'!D132=3,'A.XV. RPS (Base Num)'!G19,'A.XV. RPS (Base Num)'!I19)))</f>
        <v>0.02</v>
      </c>
      <c r="E21" s="590" t="n">
        <f aca="false">D21*C21/1.64</f>
        <v>0.0523465284572988</v>
      </c>
      <c r="F21" s="590" t="n">
        <f aca="false">E21^2</f>
        <v>0.0027401590415308</v>
      </c>
      <c r="J21" s="522"/>
      <c r="K21" s="523"/>
      <c r="L21" s="523" t="n">
        <v>1</v>
      </c>
      <c r="M21" s="523"/>
      <c r="N21" s="522"/>
      <c r="O21" s="522"/>
      <c r="P21" s="522"/>
      <c r="Q21" s="522"/>
      <c r="R21" s="522"/>
      <c r="S21" s="522"/>
      <c r="T21" s="522"/>
      <c r="U21" s="522"/>
      <c r="V21" s="522"/>
      <c r="W21" s="522"/>
      <c r="X21" s="522"/>
      <c r="Y21" s="522"/>
      <c r="Z21" s="522"/>
      <c r="AA21" s="522"/>
    </row>
    <row r="22" customFormat="false" ht="12.75" hidden="false" customHeight="false" outlineLevel="0" collapsed="false">
      <c r="A22" s="585"/>
      <c r="B22" s="594"/>
      <c r="C22" s="595"/>
      <c r="D22" s="596"/>
      <c r="E22" s="597"/>
      <c r="F22" s="597"/>
      <c r="J22" s="522"/>
      <c r="K22" s="523"/>
      <c r="L22" s="523"/>
      <c r="M22" s="523"/>
      <c r="N22" s="522"/>
      <c r="O22" s="522"/>
      <c r="P22" s="522"/>
      <c r="Q22" s="522"/>
      <c r="R22" s="522"/>
      <c r="S22" s="522"/>
      <c r="T22" s="522"/>
      <c r="U22" s="522"/>
      <c r="V22" s="522"/>
      <c r="W22" s="522"/>
      <c r="X22" s="522"/>
      <c r="Y22" s="522"/>
      <c r="Z22" s="522"/>
      <c r="AA22" s="522"/>
    </row>
    <row r="23" customFormat="false" ht="15" hidden="false" customHeight="false" outlineLevel="0" collapsed="false">
      <c r="A23" s="560" t="s">
        <v>905</v>
      </c>
      <c r="B23" s="561" t="s">
        <v>906</v>
      </c>
      <c r="J23" s="522"/>
      <c r="K23" s="523"/>
      <c r="L23" s="523"/>
      <c r="M23" s="523"/>
      <c r="N23" s="522"/>
      <c r="O23" s="522"/>
      <c r="P23" s="522"/>
      <c r="Q23" s="522"/>
      <c r="R23" s="522"/>
      <c r="S23" s="522"/>
      <c r="T23" s="522"/>
      <c r="U23" s="522"/>
      <c r="V23" s="522"/>
      <c r="W23" s="522"/>
      <c r="X23" s="522"/>
      <c r="Y23" s="522"/>
      <c r="Z23" s="522"/>
      <c r="AA23" s="522"/>
    </row>
    <row r="24" customFormat="false" ht="12.75" hidden="false" customHeight="false" outlineLevel="0" collapsed="false">
      <c r="H24" s="598" t="s">
        <v>907</v>
      </c>
      <c r="I24" s="598" t="s">
        <v>908</v>
      </c>
      <c r="J24" s="522"/>
      <c r="K24" s="523"/>
      <c r="L24" s="523"/>
      <c r="M24" s="523"/>
      <c r="N24" s="522"/>
      <c r="O24" s="522"/>
      <c r="P24" s="522"/>
      <c r="Q24" s="522"/>
      <c r="R24" s="522"/>
      <c r="S24" s="522"/>
      <c r="T24" s="522"/>
      <c r="U24" s="522"/>
      <c r="V24" s="522"/>
      <c r="W24" s="522"/>
      <c r="X24" s="522"/>
      <c r="Y24" s="522"/>
      <c r="Z24" s="522"/>
      <c r="AA24" s="522"/>
    </row>
    <row r="25" customFormat="false" ht="15" hidden="false" customHeight="false" outlineLevel="0" collapsed="false">
      <c r="H25" s="599" t="n">
        <v>0.95</v>
      </c>
      <c r="I25" s="600" t="e">
        <f aca="false">(SUM(F5:F21)^0.5)*1.65</f>
        <v>#DIV/0!</v>
      </c>
      <c r="J25" s="522"/>
      <c r="K25" s="523"/>
      <c r="L25" s="523" t="e">
        <f aca="false">I25/100</f>
        <v>#DIV/0!</v>
      </c>
      <c r="M25" s="523"/>
      <c r="N25" s="522"/>
      <c r="O25" s="522"/>
      <c r="P25" s="522"/>
      <c r="Q25" s="522"/>
      <c r="R25" s="522"/>
      <c r="S25" s="522"/>
      <c r="T25" s="522"/>
      <c r="U25" s="522"/>
      <c r="V25" s="522"/>
      <c r="W25" s="522"/>
      <c r="X25" s="522"/>
      <c r="Y25" s="522"/>
      <c r="Z25" s="522"/>
      <c r="AA25" s="522"/>
    </row>
    <row r="26" customFormat="false" ht="15" hidden="false" customHeight="false" outlineLevel="0" collapsed="false">
      <c r="A26" s="560" t="s">
        <v>899</v>
      </c>
      <c r="B26" s="519" t="s">
        <v>771</v>
      </c>
      <c r="H26" s="601" t="n">
        <v>0.9</v>
      </c>
      <c r="I26" s="600" t="e">
        <f aca="false">(SUM(F5:F21)^0.5)*1.29</f>
        <v>#DIV/0!</v>
      </c>
      <c r="J26" s="522"/>
      <c r="K26" s="523"/>
      <c r="L26" s="523" t="e">
        <f aca="false">I26/100</f>
        <v>#DIV/0!</v>
      </c>
      <c r="M26" s="523"/>
      <c r="N26" s="522"/>
      <c r="O26" s="522"/>
      <c r="P26" s="522"/>
      <c r="Q26" s="522"/>
      <c r="R26" s="522"/>
      <c r="S26" s="522"/>
      <c r="T26" s="522"/>
      <c r="U26" s="522"/>
      <c r="V26" s="522"/>
      <c r="W26" s="522"/>
      <c r="X26" s="522"/>
      <c r="Y26" s="522"/>
      <c r="Z26" s="522"/>
      <c r="AA26" s="522"/>
    </row>
    <row r="27" customFormat="false" ht="15" hidden="false" customHeight="false" outlineLevel="0" collapsed="false">
      <c r="B27" s="554" t="s">
        <v>772</v>
      </c>
      <c r="C27" s="602" t="e">
        <f aca="false">IF(L21=1,IF(L30&lt;0.0502,0.0502,L30),IF(L21=2,IF(L30&lt;0.0393,0.0393,L30),IF(L21=3,IF(L30&lt;0.0315,0.0315,L30),"ERRO")))</f>
        <v>#DIV/0!</v>
      </c>
      <c r="H27" s="601" t="n">
        <v>0.85</v>
      </c>
      <c r="I27" s="600" t="e">
        <f aca="false">(SUM(F5:F21)^0.5)*1.035</f>
        <v>#DIV/0!</v>
      </c>
      <c r="J27" s="522"/>
      <c r="K27" s="523"/>
      <c r="L27" s="523" t="e">
        <f aca="false">I27/100</f>
        <v>#DIV/0!</v>
      </c>
      <c r="M27" s="523"/>
      <c r="N27" s="522"/>
      <c r="O27" s="522"/>
      <c r="P27" s="522"/>
      <c r="Q27" s="522"/>
      <c r="R27" s="522"/>
      <c r="S27" s="522"/>
      <c r="T27" s="522"/>
      <c r="U27" s="522"/>
      <c r="V27" s="522"/>
      <c r="W27" s="522"/>
      <c r="X27" s="522"/>
      <c r="Y27" s="522"/>
      <c r="Z27" s="522"/>
      <c r="AA27" s="522"/>
    </row>
    <row r="28" customFormat="false" ht="12.75" hidden="false" customHeight="false" outlineLevel="0" collapsed="false">
      <c r="J28" s="522"/>
      <c r="K28" s="523"/>
      <c r="L28" s="523"/>
      <c r="M28" s="523"/>
      <c r="N28" s="522"/>
      <c r="O28" s="522"/>
      <c r="P28" s="522"/>
      <c r="Q28" s="522"/>
      <c r="R28" s="522"/>
      <c r="S28" s="522"/>
      <c r="T28" s="522"/>
      <c r="U28" s="522"/>
      <c r="V28" s="522"/>
      <c r="W28" s="522"/>
      <c r="X28" s="522"/>
      <c r="Y28" s="522"/>
      <c r="Z28" s="522"/>
      <c r="AA28" s="522"/>
    </row>
    <row r="29" customFormat="false" ht="12.75" hidden="false" customHeight="false" outlineLevel="0" collapsed="false">
      <c r="J29" s="522"/>
      <c r="K29" s="523"/>
      <c r="L29" s="523"/>
      <c r="M29" s="523"/>
      <c r="N29" s="522"/>
      <c r="O29" s="522"/>
      <c r="P29" s="522"/>
      <c r="Q29" s="522"/>
      <c r="R29" s="522"/>
      <c r="S29" s="522"/>
      <c r="T29" s="522"/>
      <c r="U29" s="522"/>
      <c r="V29" s="522"/>
      <c r="W29" s="522"/>
      <c r="X29" s="522"/>
      <c r="Y29" s="522"/>
      <c r="Z29" s="522"/>
      <c r="AA29" s="522"/>
    </row>
    <row r="30" customFormat="false" ht="12.75" hidden="false" customHeight="false" outlineLevel="0" collapsed="false">
      <c r="J30" s="522"/>
      <c r="K30" s="523"/>
      <c r="L30" s="523" t="e">
        <f aca="false">IF(L21=1,L25,IF(L21=2,L26,IF(L21=3,L27,"ERROR")))</f>
        <v>#DIV/0!</v>
      </c>
      <c r="M30" s="523"/>
      <c r="N30" s="522"/>
      <c r="O30" s="522"/>
      <c r="P30" s="522"/>
      <c r="Q30" s="522"/>
      <c r="R30" s="522"/>
      <c r="S30" s="522"/>
      <c r="T30" s="522"/>
      <c r="U30" s="522"/>
      <c r="V30" s="522"/>
      <c r="W30" s="522"/>
      <c r="X30" s="522"/>
      <c r="Y30" s="522"/>
      <c r="Z30" s="522"/>
      <c r="AA30" s="522"/>
    </row>
    <row r="31" customFormat="false" ht="12.75" hidden="false" customHeight="false" outlineLevel="0" collapsed="false">
      <c r="J31" s="522"/>
      <c r="K31" s="523"/>
      <c r="L31" s="523"/>
      <c r="M31" s="523"/>
      <c r="N31" s="522"/>
      <c r="O31" s="522"/>
      <c r="P31" s="522"/>
      <c r="Q31" s="522"/>
      <c r="R31" s="522"/>
      <c r="S31" s="522"/>
      <c r="T31" s="522"/>
      <c r="U31" s="522"/>
      <c r="V31" s="522"/>
      <c r="W31" s="522"/>
      <c r="X31" s="522"/>
      <c r="Y31" s="522"/>
      <c r="Z31" s="522"/>
      <c r="AA31" s="522"/>
    </row>
    <row r="32" customFormat="false" ht="12.75" hidden="false" customHeight="false" outlineLevel="0" collapsed="false">
      <c r="J32" s="522"/>
      <c r="K32" s="523"/>
      <c r="L32" s="523"/>
      <c r="M32" s="523"/>
      <c r="N32" s="522"/>
      <c r="O32" s="522"/>
      <c r="P32" s="522"/>
      <c r="Q32" s="522"/>
      <c r="R32" s="522"/>
      <c r="S32" s="522"/>
      <c r="T32" s="522"/>
      <c r="U32" s="522"/>
      <c r="V32" s="522"/>
      <c r="W32" s="522"/>
      <c r="X32" s="522"/>
      <c r="Y32" s="522"/>
      <c r="Z32" s="522"/>
      <c r="AA32" s="522"/>
    </row>
    <row r="33" customFormat="false" ht="12.75" hidden="false" customHeight="false" outlineLevel="0" collapsed="false">
      <c r="J33" s="522"/>
      <c r="K33" s="523"/>
      <c r="L33" s="523"/>
      <c r="M33" s="523"/>
      <c r="N33" s="522"/>
      <c r="O33" s="522"/>
      <c r="P33" s="522"/>
      <c r="Q33" s="522"/>
      <c r="R33" s="522"/>
      <c r="S33" s="522"/>
      <c r="T33" s="522"/>
      <c r="U33" s="522"/>
      <c r="V33" s="522"/>
      <c r="W33" s="522"/>
      <c r="X33" s="522"/>
      <c r="Y33" s="522"/>
      <c r="Z33" s="522"/>
      <c r="AA33" s="522"/>
    </row>
    <row r="34" customFormat="false" ht="12.75" hidden="false" customHeight="false" outlineLevel="0" collapsed="false">
      <c r="J34" s="522"/>
      <c r="K34" s="523"/>
      <c r="L34" s="523"/>
      <c r="M34" s="523"/>
      <c r="N34" s="522"/>
      <c r="O34" s="522"/>
      <c r="P34" s="522"/>
      <c r="Q34" s="522"/>
      <c r="R34" s="522"/>
      <c r="S34" s="522"/>
      <c r="T34" s="522"/>
      <c r="U34" s="522"/>
      <c r="V34" s="522"/>
      <c r="W34" s="522"/>
      <c r="X34" s="522"/>
      <c r="Y34" s="522"/>
      <c r="Z34" s="522"/>
      <c r="AA34" s="522"/>
    </row>
  </sheetData>
  <mergeCells count="1">
    <mergeCell ref="H4:K4"/>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22.03125" defaultRowHeight="12.75" zeroHeight="false" outlineLevelRow="0" outlineLevelCol="0"/>
  <cols>
    <col collapsed="false" customWidth="true" hidden="false" outlineLevel="0" max="1" min="1" style="603" width="40.42"/>
    <col collapsed="false" customWidth="true" hidden="false" outlineLevel="0" max="2" min="2" style="56" width="9.14"/>
    <col collapsed="false" customWidth="true" hidden="false" outlineLevel="0" max="3" min="3" style="56" width="15"/>
    <col collapsed="false" customWidth="true" hidden="false" outlineLevel="0" max="4" min="4" style="56" width="9.14"/>
    <col collapsed="false" customWidth="true" hidden="false" outlineLevel="0" max="5" min="5" style="56" width="15"/>
    <col collapsed="false" customWidth="true" hidden="false" outlineLevel="0" max="6" min="6" style="56" width="9.14"/>
    <col collapsed="false" customWidth="true" hidden="false" outlineLevel="0" max="7" min="7" style="56" width="15"/>
    <col collapsed="false" customWidth="true" hidden="false" outlineLevel="0" max="8" min="8" style="56" width="9.14"/>
    <col collapsed="false" customWidth="true" hidden="false" outlineLevel="0" max="9" min="9" style="56" width="15"/>
    <col collapsed="false" customWidth="true" hidden="false" outlineLevel="0" max="10" min="10" style="604" width="33.71"/>
    <col collapsed="false" customWidth="false" hidden="false" outlineLevel="0" max="1024" min="11" style="56" width="22.01"/>
  </cols>
  <sheetData>
    <row r="1" customFormat="false" ht="12.75" hidden="false" customHeight="true" outlineLevel="0" collapsed="false">
      <c r="A1" s="605"/>
      <c r="B1" s="606" t="s">
        <v>909</v>
      </c>
      <c r="C1" s="606"/>
      <c r="D1" s="606" t="s">
        <v>896</v>
      </c>
      <c r="E1" s="606"/>
      <c r="F1" s="606" t="s">
        <v>764</v>
      </c>
      <c r="G1" s="606"/>
      <c r="H1" s="606" t="s">
        <v>765</v>
      </c>
      <c r="I1" s="606"/>
      <c r="J1" s="607"/>
    </row>
    <row r="2" customFormat="false" ht="12.75" hidden="false" customHeight="false" outlineLevel="0" collapsed="false">
      <c r="A2" s="608" t="s">
        <v>753</v>
      </c>
      <c r="B2" s="609" t="s">
        <v>901</v>
      </c>
      <c r="C2" s="609" t="s">
        <v>910</v>
      </c>
      <c r="D2" s="609" t="s">
        <v>901</v>
      </c>
      <c r="E2" s="609" t="s">
        <v>910</v>
      </c>
      <c r="F2" s="609" t="s">
        <v>901</v>
      </c>
      <c r="G2" s="609" t="s">
        <v>910</v>
      </c>
      <c r="H2" s="609" t="s">
        <v>901</v>
      </c>
      <c r="I2" s="609" t="s">
        <v>910</v>
      </c>
      <c r="J2" s="610" t="s">
        <v>911</v>
      </c>
    </row>
    <row r="3" customFormat="false" ht="12.75" hidden="false" customHeight="false" outlineLevel="0" collapsed="false">
      <c r="A3" s="611" t="s">
        <v>782</v>
      </c>
      <c r="B3" s="612" t="n">
        <v>0</v>
      </c>
      <c r="C3" s="613" t="n">
        <v>0</v>
      </c>
      <c r="D3" s="614" t="n">
        <f aca="false">('5. Composição CT'!N26+'5. Composição CT'!N29+'5. Composição CT'!N34+'5. Composição CT'!N38+'5. Composição CT'!N42)*100</f>
        <v>0.717908465488589</v>
      </c>
      <c r="E3" s="613" t="n">
        <v>0.17</v>
      </c>
      <c r="F3" s="614" t="n">
        <f aca="false">D3</f>
        <v>0.717908465488589</v>
      </c>
      <c r="G3" s="613" t="n">
        <v>0.22</v>
      </c>
      <c r="H3" s="614" t="n">
        <f aca="false">D3</f>
        <v>0.717908465488589</v>
      </c>
      <c r="I3" s="613" t="n">
        <v>0.25</v>
      </c>
      <c r="J3" s="615" t="s">
        <v>912</v>
      </c>
    </row>
    <row r="4" customFormat="false" ht="12.75" hidden="false" customHeight="false" outlineLevel="0" collapsed="false">
      <c r="A4" s="611" t="s">
        <v>790</v>
      </c>
      <c r="B4" s="612" t="n">
        <v>0</v>
      </c>
      <c r="C4" s="613" t="n">
        <v>0</v>
      </c>
      <c r="D4" s="614" t="n">
        <f aca="false">('5. Composição CT'!N27+'5. Composição CT'!N36+'5. Composição CT'!N41+'5. Composição CT'!N43+'5. Composição CT'!N22)*100</f>
        <v>2.27545322873558</v>
      </c>
      <c r="E4" s="613" t="n">
        <v>0.1</v>
      </c>
      <c r="F4" s="614" t="n">
        <f aca="false">D4</f>
        <v>2.27545322873558</v>
      </c>
      <c r="G4" s="613" t="n">
        <v>0.15</v>
      </c>
      <c r="H4" s="614" t="n">
        <f aca="false">D4</f>
        <v>2.27545322873558</v>
      </c>
      <c r="I4" s="613" t="n">
        <v>0.25</v>
      </c>
      <c r="J4" s="616" t="s">
        <v>913</v>
      </c>
    </row>
    <row r="5" customFormat="false" ht="38.25" hidden="false" customHeight="false" outlineLevel="0" collapsed="false">
      <c r="A5" s="617" t="s">
        <v>796</v>
      </c>
      <c r="B5" s="612" t="n">
        <v>0</v>
      </c>
      <c r="C5" s="613" t="n">
        <v>0</v>
      </c>
      <c r="D5" s="614" t="n">
        <f aca="false">('5. Composição CT'!N14+'5. Composição CT'!N25+'5. Composição CT'!N33+'5. Composição CT'!N19+'5. Composição CT'!N20+'5. Composição CT'!N21+'5. Composição CT'!N22+'5. Composição CT'!N26+'5. Composição CT'!N27+'5. Composição CT'!N34+'5. Composição CT'!N35+'5. Composição CT'!N36+'5. Composição CT'!N41+'5. Composição CT'!N42+'5. Composição CT'!N28+'5. Composição CT'!N37+'5. Composição CT'!N43+'5. Composição CT'!N6)*100</f>
        <v>60.5970277833698</v>
      </c>
      <c r="E5" s="613" t="n">
        <v>0.04</v>
      </c>
      <c r="F5" s="614" t="n">
        <f aca="false">D5</f>
        <v>60.5970277833698</v>
      </c>
      <c r="G5" s="613" t="n">
        <v>0.06</v>
      </c>
      <c r="H5" s="614" t="n">
        <f aca="false">D5</f>
        <v>60.5970277833698</v>
      </c>
      <c r="I5" s="613" t="n">
        <v>0.1</v>
      </c>
      <c r="J5" s="616" t="s">
        <v>914</v>
      </c>
    </row>
    <row r="6" customFormat="false" ht="12.75" hidden="false" customHeight="false" outlineLevel="0" collapsed="false">
      <c r="A6" s="611" t="s">
        <v>915</v>
      </c>
      <c r="B6" s="612" t="n">
        <v>0</v>
      </c>
      <c r="C6" s="613" t="n">
        <v>0</v>
      </c>
      <c r="D6" s="614" t="n">
        <f aca="false">('5. Composição CT'!N26+'5. Composição CT'!N29+'5. Composição CT'!N34+'5. Composição CT'!N38+'5. Composição CT'!N42)*100</f>
        <v>0.717908465488589</v>
      </c>
      <c r="E6" s="613" t="n">
        <v>0.04</v>
      </c>
      <c r="F6" s="614" t="n">
        <f aca="false">D6</f>
        <v>0.717908465488589</v>
      </c>
      <c r="G6" s="613" t="n">
        <v>0.07</v>
      </c>
      <c r="H6" s="614" t="n">
        <f aca="false">D6</f>
        <v>0.717908465488589</v>
      </c>
      <c r="I6" s="613" t="n">
        <v>0.11</v>
      </c>
      <c r="J6" s="615" t="s">
        <v>912</v>
      </c>
    </row>
    <row r="7" customFormat="false" ht="12.75" hidden="false" customHeight="false" outlineLevel="0" collapsed="false">
      <c r="A7" s="611" t="s">
        <v>812</v>
      </c>
      <c r="B7" s="612" t="n">
        <v>0</v>
      </c>
      <c r="C7" s="613" t="n">
        <v>0</v>
      </c>
      <c r="D7" s="614" t="n">
        <f aca="false">('5. Composição CT'!N6+'5. Composição CT'!N10+'5. Composição CT'!N29+'5. Composição CT'!N34)*100</f>
        <v>27.7645736870285</v>
      </c>
      <c r="E7" s="613" t="n">
        <v>0.002247</v>
      </c>
      <c r="F7" s="614" t="n">
        <f aca="false">D7</f>
        <v>27.7645736870285</v>
      </c>
      <c r="G7" s="613" t="n">
        <v>0.00694060936800001</v>
      </c>
      <c r="H7" s="614" t="n">
        <f aca="false">D7</f>
        <v>27.7645736870285</v>
      </c>
      <c r="I7" s="613" t="n">
        <v>0.0075</v>
      </c>
      <c r="J7" s="616" t="s">
        <v>916</v>
      </c>
    </row>
    <row r="8" customFormat="false" ht="12.75" hidden="false" customHeight="false" outlineLevel="0" collapsed="false">
      <c r="A8" s="611" t="s">
        <v>819</v>
      </c>
      <c r="B8" s="612" t="n">
        <v>0</v>
      </c>
      <c r="C8" s="613" t="n">
        <v>0</v>
      </c>
      <c r="D8" s="614" t="n">
        <v>100</v>
      </c>
      <c r="E8" s="613" t="n">
        <v>0.0371428571428571</v>
      </c>
      <c r="F8" s="614" t="n">
        <f aca="false">D8</f>
        <v>100</v>
      </c>
      <c r="G8" s="613" t="n">
        <v>0.0557142857142857</v>
      </c>
      <c r="H8" s="614" t="n">
        <f aca="false">D8</f>
        <v>100</v>
      </c>
      <c r="I8" s="613" t="n">
        <v>0.0946</v>
      </c>
      <c r="J8" s="618" t="s">
        <v>568</v>
      </c>
    </row>
    <row r="9" customFormat="false" ht="12.75" hidden="false" customHeight="false" outlineLevel="0" collapsed="false">
      <c r="A9" s="611" t="s">
        <v>827</v>
      </c>
      <c r="B9" s="612" t="n">
        <v>0</v>
      </c>
      <c r="C9" s="613" t="n">
        <v>0</v>
      </c>
      <c r="D9" s="614" t="e">
        <f aca="false">(1-(1/(1+('1.1. Passageiros'!D8+0.5*'1.1. Passageiros'!D7))/'1.1. Passageiros'!D11))*100</f>
        <v>#DIV/0!</v>
      </c>
      <c r="E9" s="613" t="n">
        <v>0.01792</v>
      </c>
      <c r="F9" s="614" t="e">
        <f aca="false">D9</f>
        <v>#DIV/0!</v>
      </c>
      <c r="G9" s="613" t="n">
        <v>0.0224</v>
      </c>
      <c r="H9" s="614" t="e">
        <f aca="false">D9</f>
        <v>#DIV/0!</v>
      </c>
      <c r="I9" s="613" t="n">
        <v>0.03136</v>
      </c>
      <c r="J9" s="618" t="s">
        <v>568</v>
      </c>
    </row>
    <row r="10" customFormat="false" ht="12.75" hidden="false" customHeight="false" outlineLevel="0" collapsed="false">
      <c r="A10" s="611" t="s">
        <v>834</v>
      </c>
      <c r="B10" s="612" t="n">
        <v>0</v>
      </c>
      <c r="C10" s="613" t="n">
        <v>0</v>
      </c>
      <c r="D10" s="614" t="e">
        <f aca="false">('1.1. Passageiros'!D57/'1.1. Passageiros'!C52)*100</f>
        <v>#VALUE!</v>
      </c>
      <c r="E10" s="613" t="n">
        <v>0.02996</v>
      </c>
      <c r="F10" s="614" t="e">
        <f aca="false">D10</f>
        <v>#VALUE!</v>
      </c>
      <c r="G10" s="613" t="n">
        <v>0.0481544</v>
      </c>
      <c r="H10" s="614" t="e">
        <f aca="false">D10</f>
        <v>#VALUE!</v>
      </c>
      <c r="I10" s="613" t="n">
        <v>0.0688960160000001</v>
      </c>
      <c r="J10" s="618" t="s">
        <v>568</v>
      </c>
    </row>
    <row r="11" customFormat="false" ht="12.75" hidden="false" customHeight="false" outlineLevel="0" collapsed="false">
      <c r="A11" s="611" t="s">
        <v>840</v>
      </c>
      <c r="B11" s="612" t="n">
        <v>0</v>
      </c>
      <c r="C11" s="613" t="n">
        <v>0</v>
      </c>
      <c r="D11" s="614" t="n">
        <v>100</v>
      </c>
      <c r="E11" s="613" t="n">
        <v>0.008</v>
      </c>
      <c r="F11" s="614" t="n">
        <f aca="false">D11</f>
        <v>100</v>
      </c>
      <c r="G11" s="613" t="n">
        <v>0.012</v>
      </c>
      <c r="H11" s="614" t="n">
        <f aca="false">D11</f>
        <v>100</v>
      </c>
      <c r="I11" s="613" t="n">
        <v>0.024</v>
      </c>
      <c r="J11" s="618" t="s">
        <v>568</v>
      </c>
    </row>
    <row r="12" customFormat="false" ht="12.75" hidden="false" customHeight="false" outlineLevel="0" collapsed="false">
      <c r="A12" s="611" t="s">
        <v>848</v>
      </c>
      <c r="B12" s="612" t="n">
        <v>0</v>
      </c>
      <c r="C12" s="613" t="n">
        <v>0</v>
      </c>
      <c r="D12" s="614" t="n">
        <f aca="false">('2.1.c Insumos'!F105/'4. Custo Total'!H1)*100</f>
        <v>0</v>
      </c>
      <c r="E12" s="613" t="n">
        <v>0.00583333333333333</v>
      </c>
      <c r="F12" s="614" t="n">
        <f aca="false">D12</f>
        <v>0</v>
      </c>
      <c r="G12" s="613" t="n">
        <v>0.035</v>
      </c>
      <c r="H12" s="614" t="n">
        <f aca="false">D12</f>
        <v>0</v>
      </c>
      <c r="I12" s="613" t="n">
        <v>0.0749000000000001</v>
      </c>
      <c r="J12" s="618" t="s">
        <v>568</v>
      </c>
    </row>
    <row r="13" customFormat="false" ht="12.75" hidden="false" customHeight="false" outlineLevel="0" collapsed="false">
      <c r="A13" s="611" t="s">
        <v>852</v>
      </c>
      <c r="B13" s="612" t="n">
        <v>0</v>
      </c>
      <c r="C13" s="613" t="n">
        <v>0</v>
      </c>
      <c r="D13" s="614" t="n">
        <v>100</v>
      </c>
      <c r="E13" s="613" t="n">
        <v>0.00583333333333333</v>
      </c>
      <c r="F13" s="614" t="n">
        <f aca="false">D13</f>
        <v>100</v>
      </c>
      <c r="G13" s="613" t="n">
        <v>0.035</v>
      </c>
      <c r="H13" s="614" t="n">
        <f aca="false">D13</f>
        <v>100</v>
      </c>
      <c r="I13" s="613" t="n">
        <v>0.0749000000000001</v>
      </c>
      <c r="J13" s="618" t="s">
        <v>568</v>
      </c>
    </row>
    <row r="14" customFormat="false" ht="12.75" hidden="false" customHeight="false" outlineLevel="0" collapsed="false">
      <c r="A14" s="611" t="s">
        <v>859</v>
      </c>
      <c r="B14" s="612" t="n">
        <v>0</v>
      </c>
      <c r="C14" s="613" t="n">
        <v>0</v>
      </c>
      <c r="D14" s="614" t="n">
        <v>100</v>
      </c>
      <c r="E14" s="613" t="n">
        <v>0.005</v>
      </c>
      <c r="F14" s="614" t="n">
        <f aca="false">D14</f>
        <v>100</v>
      </c>
      <c r="G14" s="613" t="n">
        <v>0.01</v>
      </c>
      <c r="H14" s="614" t="n">
        <f aca="false">D14</f>
        <v>100</v>
      </c>
      <c r="I14" s="613" t="n">
        <v>0.012</v>
      </c>
      <c r="J14" s="618" t="s">
        <v>568</v>
      </c>
    </row>
    <row r="15" customFormat="false" ht="12.75" hidden="false" customHeight="false" outlineLevel="0" collapsed="false">
      <c r="A15" s="611" t="s">
        <v>864</v>
      </c>
      <c r="B15" s="612" t="n">
        <v>0</v>
      </c>
      <c r="C15" s="613" t="n">
        <v>0</v>
      </c>
      <c r="D15" s="614" t="n">
        <f aca="false">(SUM('5. Composição CT'!N6:N10)+'5. Composição CT'!N25+'5. Composição CT'!N33)*100</f>
        <v>41.4261770729324</v>
      </c>
      <c r="E15" s="613" t="n">
        <v>0.005</v>
      </c>
      <c r="F15" s="614" t="n">
        <f aca="false">D15</f>
        <v>41.4261770729324</v>
      </c>
      <c r="G15" s="613" t="n">
        <v>0.0075</v>
      </c>
      <c r="H15" s="614" t="n">
        <f aca="false">D15</f>
        <v>41.4261770729324</v>
      </c>
      <c r="I15" s="613" t="n">
        <v>0.01</v>
      </c>
      <c r="J15" s="616" t="s">
        <v>917</v>
      </c>
    </row>
    <row r="16" customFormat="false" ht="12.75" hidden="false" customHeight="false" outlineLevel="0" collapsed="false">
      <c r="A16" s="611" t="s">
        <v>870</v>
      </c>
      <c r="B16" s="612" t="n">
        <v>0</v>
      </c>
      <c r="C16" s="613" t="n">
        <v>0</v>
      </c>
      <c r="D16" s="614" t="n">
        <f aca="false">('5. Composição CT'!N25+'5. Composição CT'!N27+'5. Composição CT'!N33+'5. Composição CT'!N36+'5. Composição CT'!N41+'5. Composição CT'!N29+'5. Composição CT'!N38)*100</f>
        <v>4.87713256906305</v>
      </c>
      <c r="E16" s="613" t="n">
        <v>0.004</v>
      </c>
      <c r="F16" s="614" t="n">
        <f aca="false">D16</f>
        <v>4.87713256906305</v>
      </c>
      <c r="G16" s="613" t="n">
        <v>0.008</v>
      </c>
      <c r="H16" s="614" t="n">
        <f aca="false">D16</f>
        <v>4.87713256906305</v>
      </c>
      <c r="I16" s="613" t="n">
        <v>0.015</v>
      </c>
      <c r="J16" s="616" t="s">
        <v>918</v>
      </c>
    </row>
    <row r="17" customFormat="false" ht="15.75" hidden="false" customHeight="true" outlineLevel="0" collapsed="false">
      <c r="A17" s="611" t="s">
        <v>876</v>
      </c>
      <c r="B17" s="612" t="n">
        <v>0</v>
      </c>
      <c r="C17" s="613" t="n">
        <v>0</v>
      </c>
      <c r="D17" s="614" t="n">
        <f aca="false">('5. Composição CT'!N14+'5. Composição CT'!N15)*100</f>
        <v>36.1531897640928</v>
      </c>
      <c r="E17" s="613" t="n">
        <v>0.003696</v>
      </c>
      <c r="F17" s="614" t="n">
        <f aca="false">D17</f>
        <v>36.1531897640928</v>
      </c>
      <c r="G17" s="613" t="n">
        <v>0.0127127616</v>
      </c>
      <c r="H17" s="614" t="n">
        <f aca="false">D17</f>
        <v>36.1531897640928</v>
      </c>
      <c r="I17" s="613" t="n">
        <v>0.0264</v>
      </c>
      <c r="J17" s="618" t="s">
        <v>919</v>
      </c>
    </row>
    <row r="18" customFormat="false" ht="12.75" hidden="false" customHeight="true" outlineLevel="0" collapsed="false">
      <c r="A18" s="611" t="s">
        <v>884</v>
      </c>
      <c r="B18" s="612" t="n">
        <v>0</v>
      </c>
      <c r="C18" s="613" t="n">
        <v>0</v>
      </c>
      <c r="D18" s="614" t="n">
        <v>100</v>
      </c>
      <c r="E18" s="613" t="n">
        <v>0.0133333333333333</v>
      </c>
      <c r="F18" s="614" t="n">
        <f aca="false">D18</f>
        <v>100</v>
      </c>
      <c r="G18" s="613" t="n">
        <v>0.0133333333333333</v>
      </c>
      <c r="H18" s="614" t="n">
        <f aca="false">D18</f>
        <v>100</v>
      </c>
      <c r="I18" s="613" t="n">
        <v>0.0133333333333333</v>
      </c>
      <c r="J18" s="618" t="s">
        <v>568</v>
      </c>
    </row>
    <row r="19" customFormat="false" ht="25.5" hidden="false" customHeight="false" outlineLevel="0" collapsed="false">
      <c r="A19" s="611" t="s">
        <v>888</v>
      </c>
      <c r="B19" s="612" t="n">
        <v>0</v>
      </c>
      <c r="C19" s="613" t="n">
        <v>0</v>
      </c>
      <c r="D19" s="614" t="n">
        <f aca="false">(SUM('5. Composição CT'!N25:N29)+SUM('5. Composição CT'!N33:N38))*100</f>
        <v>4.2924153334985</v>
      </c>
      <c r="E19" s="613" t="n">
        <v>0.016</v>
      </c>
      <c r="F19" s="614" t="n">
        <f aca="false">D19</f>
        <v>4.2924153334985</v>
      </c>
      <c r="G19" s="613" t="n">
        <v>0.02</v>
      </c>
      <c r="H19" s="614" t="n">
        <f aca="false">D19</f>
        <v>4.2924153334985</v>
      </c>
      <c r="I19" s="613" t="n">
        <v>0.025</v>
      </c>
      <c r="J19" s="615" t="s">
        <v>920</v>
      </c>
    </row>
  </sheetData>
  <mergeCells count="4">
    <mergeCell ref="B1:C1"/>
    <mergeCell ref="D1:E1"/>
    <mergeCell ref="F1:G1"/>
    <mergeCell ref="H1:I1"/>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3D69B"/>
    <pageSetUpPr fitToPage="false"/>
  </sheetPr>
  <dimension ref="B2:I4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3" activeCellId="0" sqref="B3"/>
    </sheetView>
  </sheetViews>
  <sheetFormatPr defaultColWidth="8.6875" defaultRowHeight="12.75" zeroHeight="false" outlineLevelRow="0" outlineLevelCol="0"/>
  <cols>
    <col collapsed="false" customWidth="true" hidden="false" outlineLevel="0" max="1" min="1" style="0" width="9.14"/>
    <col collapsed="false" customWidth="true" hidden="false" outlineLevel="0" max="2" min="2" style="0" width="50"/>
    <col collapsed="false" customWidth="true" hidden="false" outlineLevel="0" max="3" min="3" style="0" width="17.42"/>
    <col collapsed="false" customWidth="true" hidden="false" outlineLevel="0" max="4" min="4" style="0" width="13.29"/>
  </cols>
  <sheetData>
    <row r="2" customFormat="false" ht="13.5" hidden="false" customHeight="false" outlineLevel="0" collapsed="false"/>
    <row r="3" customFormat="false" ht="15.75" hidden="false" customHeight="false" outlineLevel="0" collapsed="false">
      <c r="B3" s="510" t="s">
        <v>921</v>
      </c>
      <c r="C3" s="561" t="n">
        <v>12</v>
      </c>
      <c r="F3" s="521" t="s">
        <v>16</v>
      </c>
      <c r="G3" s="521"/>
      <c r="H3" s="521"/>
      <c r="I3" s="521"/>
    </row>
    <row r="4" customFormat="false" ht="15" hidden="false" customHeight="false" outlineLevel="0" collapsed="false">
      <c r="D4" s="619" t="s">
        <v>922</v>
      </c>
      <c r="F4" s="524"/>
      <c r="G4" s="525"/>
      <c r="H4" s="525"/>
      <c r="I4" s="563"/>
    </row>
    <row r="5" customFormat="false" ht="15" hidden="false" customHeight="false" outlineLevel="0" collapsed="false">
      <c r="B5" s="620" t="s">
        <v>923</v>
      </c>
      <c r="C5" s="621" t="n">
        <v>304</v>
      </c>
      <c r="D5" s="621" t="n">
        <f aca="false">C5*$C$3</f>
        <v>3648</v>
      </c>
      <c r="F5" s="529"/>
      <c r="G5" s="21"/>
      <c r="H5" s="565" t="s">
        <v>18</v>
      </c>
      <c r="I5" s="566"/>
    </row>
    <row r="6" customFormat="false" ht="15" hidden="false" customHeight="false" outlineLevel="0" collapsed="false">
      <c r="B6" s="138"/>
      <c r="C6" s="622"/>
      <c r="F6" s="529"/>
      <c r="G6" s="27"/>
      <c r="H6" s="565" t="s">
        <v>20</v>
      </c>
      <c r="I6" s="566"/>
    </row>
    <row r="7" customFormat="false" ht="15" hidden="false" customHeight="false" outlineLevel="0" collapsed="false">
      <c r="B7" s="145" t="s">
        <v>924</v>
      </c>
      <c r="C7" s="621" t="n">
        <v>185.29</v>
      </c>
      <c r="D7" s="621" t="n">
        <f aca="false">C7*$C$3</f>
        <v>2223.48</v>
      </c>
      <c r="F7" s="529"/>
      <c r="G7" s="28"/>
      <c r="H7" s="565" t="s">
        <v>22</v>
      </c>
      <c r="I7" s="566"/>
    </row>
    <row r="8" customFormat="false" ht="15.75" hidden="false" customHeight="false" outlineLevel="0" collapsed="false">
      <c r="B8" s="137" t="s">
        <v>925</v>
      </c>
      <c r="C8" s="621" t="n">
        <f aca="false">209+154+92.2+89</f>
        <v>544.2</v>
      </c>
      <c r="D8" s="621" t="n">
        <f aca="false">C8*$C$3</f>
        <v>6530.4</v>
      </c>
      <c r="F8" s="536"/>
      <c r="G8" s="537"/>
      <c r="H8" s="537"/>
      <c r="I8" s="570"/>
    </row>
    <row r="9" customFormat="false" ht="12.75" hidden="false" customHeight="false" outlineLevel="0" collapsed="false">
      <c r="B9" s="137" t="s">
        <v>926</v>
      </c>
      <c r="C9" s="621" t="n">
        <v>389</v>
      </c>
      <c r="D9" s="621" t="n">
        <f aca="false">C9*$C$3</f>
        <v>4668</v>
      </c>
    </row>
    <row r="10" customFormat="false" ht="12.75" hidden="false" customHeight="false" outlineLevel="0" collapsed="false">
      <c r="B10" s="137" t="s">
        <v>927</v>
      </c>
      <c r="C10" s="621" t="n">
        <f aca="false">2415+2068+137.51+1400</f>
        <v>6020.51</v>
      </c>
      <c r="D10" s="621" t="n">
        <f aca="false">C10*$C$3</f>
        <v>72246.12</v>
      </c>
    </row>
    <row r="11" customFormat="false" ht="12.75" hidden="false" customHeight="false" outlineLevel="0" collapsed="false">
      <c r="B11" s="138"/>
      <c r="C11" s="623"/>
    </row>
    <row r="12" customFormat="false" ht="12.75" hidden="false" customHeight="false" outlineLevel="0" collapsed="false">
      <c r="B12" s="624" t="s">
        <v>928</v>
      </c>
      <c r="C12" s="625" t="n">
        <f aca="false">SUM(C7:C10)</f>
        <v>7139</v>
      </c>
      <c r="D12" s="625" t="n">
        <f aca="false">SUM(D7:D10)</f>
        <v>85668</v>
      </c>
    </row>
    <row r="13" customFormat="false" ht="12.75" hidden="false" customHeight="false" outlineLevel="0" collapsed="false">
      <c r="B13" s="626"/>
      <c r="C13" s="623"/>
    </row>
    <row r="14" customFormat="false" ht="12.75" hidden="false" customHeight="false" outlineLevel="0" collapsed="false">
      <c r="B14" s="138" t="s">
        <v>929</v>
      </c>
      <c r="C14" s="621" t="n">
        <v>997.58</v>
      </c>
      <c r="D14" s="621" t="n">
        <f aca="false">C14*$C$3</f>
        <v>11970.96</v>
      </c>
    </row>
    <row r="15" customFormat="false" ht="12.75" hidden="false" customHeight="false" outlineLevel="0" collapsed="false">
      <c r="B15" s="138" t="s">
        <v>930</v>
      </c>
      <c r="C15" s="621" t="n">
        <f aca="false">554.1+35+1804.98+1040+800+80</f>
        <v>4314.08</v>
      </c>
      <c r="D15" s="621" t="n">
        <f aca="false">C15*$C$3</f>
        <v>51768.96</v>
      </c>
    </row>
    <row r="16" customFormat="false" ht="12.75" hidden="false" customHeight="false" outlineLevel="0" collapsed="false">
      <c r="B16" s="138"/>
      <c r="C16" s="622"/>
    </row>
    <row r="17" customFormat="false" ht="12.75" hidden="false" customHeight="false" outlineLevel="0" collapsed="false">
      <c r="B17" s="137" t="s">
        <v>931</v>
      </c>
      <c r="C17" s="621" t="n">
        <v>303.84</v>
      </c>
      <c r="D17" s="621" t="n">
        <f aca="false">C17*$C$3</f>
        <v>3646.08</v>
      </c>
    </row>
    <row r="18" customFormat="false" ht="12.75" hidden="false" customHeight="false" outlineLevel="0" collapsed="false">
      <c r="B18" s="137" t="s">
        <v>932</v>
      </c>
      <c r="C18" s="621" t="n">
        <v>609.39</v>
      </c>
      <c r="D18" s="621" t="n">
        <f aca="false">C18*$C$3</f>
        <v>7312.68</v>
      </c>
    </row>
    <row r="19" customFormat="false" ht="12.75" hidden="false" customHeight="false" outlineLevel="0" collapsed="false">
      <c r="B19" s="137" t="s">
        <v>933</v>
      </c>
      <c r="C19" s="621"/>
      <c r="D19" s="621" t="n">
        <f aca="false">C19*$C$3</f>
        <v>0</v>
      </c>
    </row>
    <row r="20" customFormat="false" ht="12.75" hidden="false" customHeight="false" outlineLevel="0" collapsed="false">
      <c r="B20" s="138"/>
      <c r="C20" s="623"/>
    </row>
    <row r="21" customFormat="false" ht="12.75" hidden="false" customHeight="false" outlineLevel="0" collapsed="false">
      <c r="B21" s="624" t="s">
        <v>934</v>
      </c>
      <c r="C21" s="625" t="n">
        <f aca="false">SUM(C17:C19)</f>
        <v>913.23</v>
      </c>
      <c r="D21" s="625" t="n">
        <f aca="false">SUM(D17:D19)</f>
        <v>10958.76</v>
      </c>
    </row>
    <row r="22" customFormat="false" ht="12.75" hidden="false" customHeight="false" outlineLevel="0" collapsed="false">
      <c r="B22" s="624"/>
      <c r="C22" s="623"/>
    </row>
    <row r="23" customFormat="false" ht="12.75" hidden="false" customHeight="false" outlineLevel="0" collapsed="false">
      <c r="B23" s="137" t="s">
        <v>935</v>
      </c>
      <c r="C23" s="621" t="n">
        <f aca="false">561.75+511.3+274.02</f>
        <v>1347.07</v>
      </c>
      <c r="D23" s="621" t="n">
        <f aca="false">C23*$C$3</f>
        <v>16164.84</v>
      </c>
    </row>
    <row r="24" customFormat="false" ht="12.75" hidden="false" customHeight="false" outlineLevel="0" collapsed="false">
      <c r="B24" s="137" t="s">
        <v>936</v>
      </c>
      <c r="C24" s="627"/>
      <c r="D24" s="627"/>
    </row>
    <row r="25" customFormat="false" ht="12.75" hidden="false" customHeight="false" outlineLevel="0" collapsed="false">
      <c r="B25" s="137" t="s">
        <v>937</v>
      </c>
      <c r="C25" s="628"/>
      <c r="D25" s="627" t="n">
        <f aca="false">C25*$C$3</f>
        <v>0</v>
      </c>
    </row>
    <row r="26" customFormat="false" ht="12.75" hidden="false" customHeight="false" outlineLevel="0" collapsed="false">
      <c r="B26" s="629"/>
      <c r="C26" s="623"/>
    </row>
    <row r="27" customFormat="false" ht="12.75" hidden="false" customHeight="false" outlineLevel="0" collapsed="false">
      <c r="B27" s="624" t="s">
        <v>938</v>
      </c>
      <c r="C27" s="625" t="n">
        <f aca="false">SUM(C23:C25)</f>
        <v>1347.07</v>
      </c>
      <c r="D27" s="625" t="n">
        <f aca="false">SUM(D23:D25)</f>
        <v>16164.84</v>
      </c>
    </row>
    <row r="28" customFormat="false" ht="12.75" hidden="false" customHeight="false" outlineLevel="0" collapsed="false">
      <c r="B28" s="624"/>
      <c r="C28" s="623"/>
    </row>
    <row r="29" customFormat="false" ht="12.75" hidden="false" customHeight="false" outlineLevel="0" collapsed="false">
      <c r="B29" s="620" t="s">
        <v>939</v>
      </c>
      <c r="C29" s="621"/>
      <c r="D29" s="621" t="n">
        <f aca="false">C29*$C$3</f>
        <v>0</v>
      </c>
    </row>
    <row r="30" customFormat="false" ht="12.75" hidden="false" customHeight="false" outlineLevel="0" collapsed="false">
      <c r="B30" s="620" t="s">
        <v>940</v>
      </c>
      <c r="C30" s="621" t="n">
        <f aca="false">172.36+200+180</f>
        <v>552.36</v>
      </c>
      <c r="D30" s="621" t="n">
        <f aca="false">C30*$C$3</f>
        <v>6628.32</v>
      </c>
    </row>
    <row r="31" customFormat="false" ht="12.75" hidden="false" customHeight="false" outlineLevel="0" collapsed="false">
      <c r="B31" s="620" t="s">
        <v>941</v>
      </c>
      <c r="C31" s="621"/>
      <c r="D31" s="621" t="n">
        <f aca="false">C31*$C$3</f>
        <v>0</v>
      </c>
    </row>
    <row r="32" customFormat="false" ht="12.75" hidden="false" customHeight="false" outlineLevel="0" collapsed="false">
      <c r="B32" s="620" t="s">
        <v>942</v>
      </c>
      <c r="C32" s="621" t="n">
        <v>262.58</v>
      </c>
      <c r="D32" s="621" t="n">
        <f aca="false">C32*$C$3</f>
        <v>3150.96</v>
      </c>
    </row>
    <row r="33" customFormat="false" ht="12.75" hidden="false" customHeight="false" outlineLevel="0" collapsed="false">
      <c r="B33" s="620" t="s">
        <v>943</v>
      </c>
      <c r="C33" s="621" t="n">
        <v>0</v>
      </c>
      <c r="D33" s="621" t="n">
        <f aca="false">C33*$C$3</f>
        <v>0</v>
      </c>
    </row>
    <row r="34" customFormat="false" ht="12.75" hidden="false" customHeight="false" outlineLevel="0" collapsed="false">
      <c r="B34" s="629"/>
      <c r="C34" s="622"/>
    </row>
    <row r="35" customFormat="false" ht="12.75" hidden="false" customHeight="false" outlineLevel="0" collapsed="false">
      <c r="B35" s="137" t="s">
        <v>944</v>
      </c>
      <c r="C35" s="621"/>
      <c r="D35" s="621" t="n">
        <f aca="false">C35*$C$3</f>
        <v>0</v>
      </c>
    </row>
    <row r="36" customFormat="false" ht="12.75" hidden="false" customHeight="false" outlineLevel="0" collapsed="false">
      <c r="B36" s="137" t="s">
        <v>945</v>
      </c>
      <c r="C36" s="621" t="n">
        <v>2502</v>
      </c>
      <c r="D36" s="621" t="n">
        <f aca="false">C36*$C$3</f>
        <v>30024</v>
      </c>
    </row>
    <row r="37" customFormat="false" ht="12.75" hidden="false" customHeight="false" outlineLevel="0" collapsed="false">
      <c r="B37" s="137" t="s">
        <v>946</v>
      </c>
      <c r="C37" s="621" t="n">
        <f aca="false">4000+2600</f>
        <v>6600</v>
      </c>
      <c r="D37" s="621" t="n">
        <f aca="false">C37*$C$3</f>
        <v>79200</v>
      </c>
    </row>
    <row r="38" customFormat="false" ht="12.75" hidden="false" customHeight="false" outlineLevel="0" collapsed="false">
      <c r="B38" s="137" t="s">
        <v>947</v>
      </c>
      <c r="C38" s="621" t="n">
        <v>176.38</v>
      </c>
      <c r="D38" s="621" t="n">
        <f aca="false">C38*$C$3</f>
        <v>2116.56</v>
      </c>
    </row>
    <row r="39" customFormat="false" ht="12.75" hidden="false" customHeight="false" outlineLevel="0" collapsed="false">
      <c r="B39" s="137" t="s">
        <v>948</v>
      </c>
      <c r="C39" s="621" t="n">
        <v>2800</v>
      </c>
      <c r="D39" s="621" t="n">
        <f aca="false">C39*$C$3</f>
        <v>33600</v>
      </c>
    </row>
    <row r="40" customFormat="false" ht="12.75" hidden="false" customHeight="false" outlineLevel="0" collapsed="false">
      <c r="B40" s="137" t="s">
        <v>949</v>
      </c>
      <c r="C40" s="621" t="n">
        <f aca="false">608.47+110.53+152+88.5+254.88+192+339.5</f>
        <v>1745.88</v>
      </c>
      <c r="D40" s="621" t="n">
        <f aca="false">C40*$C$3</f>
        <v>20950.56</v>
      </c>
    </row>
    <row r="41" customFormat="false" ht="12.75" hidden="false" customHeight="false" outlineLevel="0" collapsed="false">
      <c r="B41" s="137" t="s">
        <v>950</v>
      </c>
      <c r="C41" s="621" t="n">
        <v>490</v>
      </c>
      <c r="D41" s="621" t="n">
        <f aca="false">C41*$C$3</f>
        <v>5880</v>
      </c>
    </row>
    <row r="42" customFormat="false" ht="12.75" hidden="false" customHeight="false" outlineLevel="0" collapsed="false">
      <c r="B42" s="137" t="s">
        <v>951</v>
      </c>
      <c r="C42" s="621"/>
      <c r="D42" s="621" t="n">
        <f aca="false">C42*$C$3</f>
        <v>0</v>
      </c>
    </row>
    <row r="43" customFormat="false" ht="12.75" hidden="false" customHeight="false" outlineLevel="0" collapsed="false">
      <c r="B43" s="137" t="s">
        <v>952</v>
      </c>
      <c r="C43" s="621"/>
      <c r="D43" s="621" t="n">
        <f aca="false">C43*$C$3</f>
        <v>0</v>
      </c>
    </row>
    <row r="44" customFormat="false" ht="12.75" hidden="false" customHeight="false" outlineLevel="0" collapsed="false">
      <c r="B44" s="629"/>
      <c r="C44" s="623"/>
    </row>
    <row r="45" customFormat="false" ht="12.75" hidden="false" customHeight="false" outlineLevel="0" collapsed="false">
      <c r="B45" s="624" t="s">
        <v>953</v>
      </c>
      <c r="C45" s="625" t="n">
        <f aca="false">SUM(C35:C43)</f>
        <v>14314.26</v>
      </c>
      <c r="D45" s="625" t="n">
        <f aca="false">SUM(D35:D43)</f>
        <v>171771.12</v>
      </c>
    </row>
    <row r="46" customFormat="false" ht="12.75" hidden="false" customHeight="false" outlineLevel="0" collapsed="false">
      <c r="B46" s="138"/>
      <c r="C46" s="623" t="s">
        <v>954</v>
      </c>
    </row>
    <row r="47" customFormat="false" ht="12.75" hidden="false" customHeight="false" outlineLevel="0" collapsed="false">
      <c r="B47" s="620" t="s">
        <v>955</v>
      </c>
      <c r="C47" s="627"/>
      <c r="D47" s="627"/>
    </row>
    <row r="48" customFormat="false" ht="12.75" hidden="false" customHeight="false" outlineLevel="0" collapsed="false">
      <c r="C48" s="623" t="s">
        <v>954</v>
      </c>
    </row>
    <row r="49" customFormat="false" ht="12.75" hidden="false" customHeight="false" outlineLevel="0" collapsed="false">
      <c r="B49" s="630" t="s">
        <v>956</v>
      </c>
      <c r="C49" s="631" t="n">
        <f aca="false">C47+C45+SUM(C29:C33)+C27+C21+C12+C5+C14+C15</f>
        <v>30144.16</v>
      </c>
      <c r="D49" s="631" t="n">
        <f aca="false">D47+D45+SUM(D29:D33)+D27+D21+D12+D5+D14+D15</f>
        <v>361729.92</v>
      </c>
    </row>
  </sheetData>
  <mergeCells count="1">
    <mergeCell ref="F3:I3"/>
  </mergeCells>
  <hyperlinks>
    <hyperlink ref="B3" location="'2.1.c Insumos'!A1" display="XVI. Cálculo das Despesas Gerais"/>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M76"/>
  <sheetViews>
    <sheetView showFormulas="false" showGridLines="true" showRowColHeaders="true" showZeros="true" rightToLeft="false" tabSelected="false" showOutlineSymbols="true" defaultGridColor="true" view="normal" topLeftCell="A9" colorId="64" zoomScale="100" zoomScaleNormal="100" zoomScalePageLayoutView="100" workbookViewId="0">
      <selection pane="topLeft" activeCell="E25" activeCellId="0" sqref="E25"/>
    </sheetView>
  </sheetViews>
  <sheetFormatPr defaultColWidth="11.43359375" defaultRowHeight="15" zeroHeight="true" outlineLevelRow="0" outlineLevelCol="0"/>
  <cols>
    <col collapsed="false" customWidth="true" hidden="false" outlineLevel="0" max="1" min="1" style="104" width="7.42"/>
    <col collapsed="false" customWidth="true" hidden="false" outlineLevel="0" max="2" min="2" style="105" width="20.86"/>
    <col collapsed="false" customWidth="true" hidden="false" outlineLevel="0" max="3" min="3" style="105" width="5.14"/>
    <col collapsed="false" customWidth="true" hidden="false" outlineLevel="0" max="4" min="4" style="104" width="27.99"/>
    <col collapsed="false" customWidth="true" hidden="false" outlineLevel="0" max="5" min="5" style="12" width="15.29"/>
    <col collapsed="false" customWidth="true" hidden="false" outlineLevel="0" max="6" min="6" style="105" width="11.99"/>
    <col collapsed="false" customWidth="false" hidden="false" outlineLevel="0" max="7" min="7" style="12" width="11.42"/>
    <col collapsed="false" customWidth="true" hidden="false" outlineLevel="0" max="8" min="8" style="12" width="1"/>
    <col collapsed="false" customWidth="false" hidden="false" outlineLevel="0" max="9" min="9" style="12" width="11.42"/>
    <col collapsed="false" customWidth="true" hidden="false" outlineLevel="0" max="10" min="10" style="12" width="4.57"/>
    <col collapsed="false" customWidth="true" hidden="false" outlineLevel="0" max="11" min="11" style="12" width="12.86"/>
    <col collapsed="false" customWidth="false" hidden="false" outlineLevel="0" max="12" min="12" style="12" width="11.42"/>
    <col collapsed="false" customWidth="true" hidden="false" outlineLevel="0" max="13" min="13" style="12" width="27.71"/>
    <col collapsed="false" customWidth="false" hidden="false" outlineLevel="0" max="1024" min="14" style="12" width="11.42"/>
  </cols>
  <sheetData>
    <row r="1" customFormat="false" ht="15.75" hidden="false" customHeight="false" outlineLevel="0" collapsed="false">
      <c r="A1" s="13" t="s">
        <v>172</v>
      </c>
      <c r="B1" s="13"/>
      <c r="C1" s="13"/>
      <c r="D1" s="13"/>
      <c r="E1" s="13"/>
      <c r="F1" s="13"/>
      <c r="G1" s="13"/>
      <c r="H1" s="13"/>
      <c r="I1" s="13"/>
      <c r="J1" s="13"/>
    </row>
    <row r="2" customFormat="false" ht="15.75" hidden="false" customHeight="false" outlineLevel="0" collapsed="false">
      <c r="J2" s="15" t="s">
        <v>16</v>
      </c>
      <c r="K2" s="15"/>
      <c r="L2" s="15"/>
      <c r="M2" s="15"/>
    </row>
    <row r="3" customFormat="false" ht="15" hidden="false" customHeight="false" outlineLevel="0" collapsed="false">
      <c r="A3" s="16" t="s">
        <v>173</v>
      </c>
      <c r="J3" s="17"/>
      <c r="K3" s="18"/>
      <c r="L3" s="18"/>
      <c r="M3" s="19"/>
    </row>
    <row r="4" customFormat="false" ht="15" hidden="false" customHeight="false" outlineLevel="0" collapsed="false">
      <c r="A4" s="16"/>
      <c r="J4" s="20"/>
      <c r="K4" s="21"/>
      <c r="L4" s="22" t="s">
        <v>18</v>
      </c>
      <c r="M4" s="23"/>
    </row>
    <row r="5" customFormat="false" ht="15" hidden="true" customHeight="false" outlineLevel="0" collapsed="false">
      <c r="A5" s="106" t="s">
        <v>174</v>
      </c>
      <c r="B5" s="107" t="s">
        <v>175</v>
      </c>
      <c r="C5" s="107"/>
      <c r="E5" s="108"/>
      <c r="F5" s="105" t="s">
        <v>176</v>
      </c>
      <c r="J5" s="20"/>
      <c r="K5" s="27"/>
      <c r="L5" s="22" t="s">
        <v>20</v>
      </c>
      <c r="M5" s="23"/>
    </row>
    <row r="6" customFormat="false" ht="15" hidden="true" customHeight="false" outlineLevel="0" collapsed="false">
      <c r="A6" s="106" t="s">
        <v>177</v>
      </c>
      <c r="B6" s="107" t="s">
        <v>178</v>
      </c>
      <c r="C6" s="107"/>
      <c r="E6" s="109" t="n">
        <f aca="false">SUM('1.1. Passageiros'!C52:L52)</f>
        <v>0</v>
      </c>
      <c r="F6" s="105" t="s">
        <v>179</v>
      </c>
      <c r="J6" s="20"/>
      <c r="K6" s="28"/>
      <c r="L6" s="22" t="s">
        <v>22</v>
      </c>
      <c r="M6" s="23"/>
    </row>
    <row r="7" customFormat="false" ht="15.75" hidden="true" customHeight="false" outlineLevel="0" collapsed="false">
      <c r="A7" s="106" t="s">
        <v>180</v>
      </c>
      <c r="B7" s="105" t="s">
        <v>181</v>
      </c>
      <c r="E7" s="110" t="n">
        <f aca="false">'1.1. Passageiros'!D11</f>
        <v>0</v>
      </c>
      <c r="F7" s="105" t="s">
        <v>182</v>
      </c>
      <c r="J7" s="29"/>
      <c r="K7" s="30"/>
      <c r="L7" s="30"/>
      <c r="M7" s="31"/>
    </row>
    <row r="8" customFormat="false" ht="15" hidden="true" customHeight="false" outlineLevel="0" collapsed="false">
      <c r="A8" s="106" t="s">
        <v>183</v>
      </c>
      <c r="B8" s="105" t="s">
        <v>184</v>
      </c>
      <c r="E8" s="110" t="e">
        <f aca="false">E6/E5</f>
        <v>#DIV/0!</v>
      </c>
      <c r="F8" s="105" t="s">
        <v>182</v>
      </c>
    </row>
    <row r="9" customFormat="false" ht="15" hidden="false" customHeight="false" outlineLevel="0" collapsed="false">
      <c r="A9" s="106" t="s">
        <v>185</v>
      </c>
      <c r="B9" s="105" t="s">
        <v>186</v>
      </c>
      <c r="E9" s="110" t="n">
        <f aca="false">'1.2. KM programada'!D10</f>
        <v>52647.14</v>
      </c>
      <c r="F9" s="105" t="s">
        <v>187</v>
      </c>
    </row>
    <row r="10" customFormat="false" ht="15" hidden="false" customHeight="false" outlineLevel="0" collapsed="false"/>
    <row r="11" customFormat="false" ht="15" hidden="true" customHeight="false" outlineLevel="0" collapsed="false">
      <c r="A11" s="106" t="s">
        <v>188</v>
      </c>
      <c r="B11" s="105" t="s">
        <v>189</v>
      </c>
      <c r="E11" s="109"/>
      <c r="F11" s="105" t="s">
        <v>190</v>
      </c>
    </row>
    <row r="12" customFormat="false" ht="15" hidden="true" customHeight="false" outlineLevel="0" collapsed="false">
      <c r="A12" s="106" t="s">
        <v>191</v>
      </c>
      <c r="B12" s="105" t="s">
        <v>192</v>
      </c>
      <c r="E12" s="109" t="e">
        <f aca="false">E8/E9</f>
        <v>#DIV/0!</v>
      </c>
      <c r="F12" s="105" t="s">
        <v>190</v>
      </c>
    </row>
    <row r="13" customFormat="false" ht="15" hidden="false" customHeight="false" outlineLevel="0" collapsed="false"/>
    <row r="14" customFormat="false" ht="15" hidden="false" customHeight="false" outlineLevel="0" collapsed="false">
      <c r="A14" s="16" t="s">
        <v>193</v>
      </c>
    </row>
    <row r="15" customFormat="false" ht="15" hidden="false" customHeight="false" outlineLevel="0" collapsed="false"/>
    <row r="16" customFormat="false" ht="15" hidden="false" customHeight="false" outlineLevel="0" collapsed="false">
      <c r="A16" s="106" t="s">
        <v>194</v>
      </c>
      <c r="B16" s="106" t="s">
        <v>195</v>
      </c>
      <c r="E16" s="110" t="n">
        <v>16</v>
      </c>
      <c r="F16" s="105" t="s">
        <v>196</v>
      </c>
    </row>
    <row r="17" customFormat="false" ht="15" hidden="false" customHeight="false" outlineLevel="0" collapsed="false">
      <c r="A17" s="106" t="s">
        <v>197</v>
      </c>
      <c r="B17" s="106" t="s">
        <v>198</v>
      </c>
      <c r="C17" s="111" t="n">
        <v>0.8</v>
      </c>
      <c r="D17" s="14" t="s">
        <v>199</v>
      </c>
      <c r="E17" s="110" t="n">
        <v>13</v>
      </c>
      <c r="F17" s="105" t="s">
        <v>196</v>
      </c>
    </row>
    <row r="18" customFormat="false" ht="15" hidden="false" customHeight="false" outlineLevel="0" collapsed="false">
      <c r="A18" s="106" t="s">
        <v>200</v>
      </c>
      <c r="B18" s="106" t="s">
        <v>201</v>
      </c>
      <c r="C18" s="112" t="n">
        <v>0.2</v>
      </c>
      <c r="D18" s="14" t="s">
        <v>199</v>
      </c>
      <c r="E18" s="110" t="n">
        <v>3</v>
      </c>
      <c r="F18" s="105" t="s">
        <v>196</v>
      </c>
    </row>
    <row r="19" customFormat="false" ht="15" hidden="false" customHeight="false" outlineLevel="0" collapsed="false"/>
    <row r="20" customFormat="false" ht="15" hidden="false" customHeight="false" outlineLevel="0" collapsed="false">
      <c r="A20" s="106" t="s">
        <v>202</v>
      </c>
      <c r="B20" s="113" t="s">
        <v>203</v>
      </c>
      <c r="E20" s="110" t="n">
        <f aca="false">E9/E17</f>
        <v>4049.78</v>
      </c>
      <c r="F20" s="105" t="s">
        <v>204</v>
      </c>
    </row>
    <row r="21" customFormat="false" ht="15" hidden="false" customHeight="false" outlineLevel="0" collapsed="false"/>
    <row r="22" customFormat="false" ht="15" hidden="false" customHeight="false" outlineLevel="0" collapsed="false">
      <c r="A22" s="16" t="s">
        <v>205</v>
      </c>
    </row>
    <row r="23" customFormat="false" ht="15" hidden="false" customHeight="false" outlineLevel="0" collapsed="false"/>
    <row r="24" customFormat="false" ht="15" hidden="false" customHeight="false" outlineLevel="0" collapsed="false">
      <c r="A24" s="106" t="s">
        <v>206</v>
      </c>
      <c r="B24" s="12" t="s">
        <v>207</v>
      </c>
      <c r="E24" s="108" t="n">
        <v>30</v>
      </c>
      <c r="F24" s="105" t="s">
        <v>208</v>
      </c>
    </row>
    <row r="25" customFormat="false" ht="15" hidden="false" customHeight="false" outlineLevel="0" collapsed="false">
      <c r="A25" s="106" t="s">
        <v>209</v>
      </c>
      <c r="B25" s="105" t="s">
        <v>210</v>
      </c>
      <c r="E25" s="110" t="n">
        <f aca="false">'1.1. Passageiros'!D11/('1.4 Indicadores'!E17*'1.4 Indicadores'!E24)</f>
        <v>0</v>
      </c>
      <c r="F25" s="105" t="s">
        <v>211</v>
      </c>
    </row>
    <row r="26" customFormat="false" ht="15" hidden="false" customHeight="false" outlineLevel="0" collapsed="false"/>
    <row r="27" customFormat="false" ht="15" hidden="true" customHeight="false" outlineLevel="0" collapsed="false">
      <c r="A27" s="16" t="s">
        <v>212</v>
      </c>
    </row>
    <row r="29" customFormat="false" ht="15" hidden="true" customHeight="false" outlineLevel="0" collapsed="false">
      <c r="A29" s="106" t="s">
        <v>213</v>
      </c>
      <c r="B29" s="105" t="s">
        <v>214</v>
      </c>
      <c r="E29" s="110" t="e">
        <f aca="false">E8/E17</f>
        <v>#DIV/0!</v>
      </c>
      <c r="F29" s="105" t="s">
        <v>215</v>
      </c>
    </row>
    <row r="30" customFormat="false" ht="15" hidden="false" customHeight="false" outlineLevel="0" collapsed="false"/>
    <row r="31" customFormat="false" ht="15" hidden="false" customHeight="false" outlineLevel="0" collapsed="false"/>
    <row r="32" customFormat="false" ht="15" hidden="false" customHeight="false" outlineLevel="0" collapsed="false"/>
    <row r="33" customFormat="false" ht="15" hidden="false" customHeight="false" outlineLevel="0" collapsed="false"/>
    <row r="34" customFormat="false" ht="15" hidden="false" customHeight="false" outlineLevel="0" collapsed="false"/>
    <row r="35" customFormat="false" ht="15" hidden="false" customHeight="false" outlineLevel="0" collapsed="false"/>
    <row r="36" customFormat="false" ht="15" hidden="false" customHeight="false" outlineLevel="0" collapsed="false"/>
    <row r="37" customFormat="false" ht="15" hidden="false" customHeight="false" outlineLevel="0" collapsed="false"/>
    <row r="38" customFormat="false" ht="15" hidden="false" customHeight="false" outlineLevel="0" collapsed="false"/>
    <row r="39" customFormat="false" ht="15" hidden="false" customHeight="false" outlineLevel="0" collapsed="false"/>
    <row r="40" customFormat="false" ht="15" hidden="false" customHeight="false" outlineLevel="0" collapsed="false"/>
    <row r="41" customFormat="false" ht="15" hidden="false" customHeight="false" outlineLevel="0" collapsed="false"/>
    <row r="42" customFormat="false" ht="15" hidden="false" customHeight="false" outlineLevel="0" collapsed="false"/>
    <row r="43" customFormat="false" ht="15" hidden="false" customHeight="false" outlineLevel="0" collapsed="false"/>
    <row r="44" customFormat="false" ht="15" hidden="false" customHeight="false" outlineLevel="0" collapsed="false"/>
    <row r="45" customFormat="false" ht="15" hidden="false" customHeight="false" outlineLevel="0" collapsed="false"/>
    <row r="46" customFormat="false" ht="15" hidden="false" customHeight="false" outlineLevel="0" collapsed="false"/>
    <row r="47" customFormat="false" ht="15" hidden="false" customHeight="false" outlineLevel="0" collapsed="false"/>
    <row r="48" customFormat="false" ht="15" hidden="false" customHeight="false" outlineLevel="0" collapsed="false"/>
    <row r="49" customFormat="false" ht="15" hidden="false" customHeight="false" outlineLevel="0" collapsed="false"/>
    <row r="50" customFormat="false" ht="15" hidden="false" customHeight="false" outlineLevel="0" collapsed="false"/>
    <row r="51" customFormat="false" ht="15" hidden="false" customHeight="false" outlineLevel="0" collapsed="false"/>
    <row r="52" customFormat="false" ht="15" hidden="false" customHeight="false" outlineLevel="0" collapsed="false">
      <c r="A52" s="14"/>
    </row>
    <row r="53" customFormat="false" ht="15" hidden="false" customHeight="false" outlineLevel="0" collapsed="false"/>
    <row r="54" s="12" customFormat="true" ht="15" hidden="false" customHeight="false" outlineLevel="0" collapsed="false">
      <c r="A54" s="104"/>
    </row>
    <row r="55" s="12" customFormat="true" ht="15" hidden="false" customHeight="false" outlineLevel="0" collapsed="false">
      <c r="A55" s="104"/>
    </row>
    <row r="56" s="12" customFormat="true" ht="15" hidden="false" customHeight="false" outlineLevel="0" collapsed="false"/>
    <row r="57" s="12" customFormat="true" ht="15" hidden="false" customHeight="false" outlineLevel="0" collapsed="false"/>
    <row r="58" s="12" customFormat="true" ht="15" hidden="false" customHeight="false" outlineLevel="0" collapsed="false"/>
    <row r="59" customFormat="false" ht="15" hidden="false" customHeight="false" outlineLevel="0" collapsed="false">
      <c r="F59" s="12"/>
    </row>
    <row r="60" s="12" customFormat="true" ht="15" hidden="false" customHeight="false" outlineLevel="0" collapsed="false">
      <c r="A60" s="104"/>
    </row>
    <row r="61" s="12" customFormat="true" ht="15" hidden="false" customHeight="false" outlineLevel="0" collapsed="false">
      <c r="A61" s="104"/>
    </row>
    <row r="62" customFormat="false" ht="15" hidden="false" customHeight="false" outlineLevel="0" collapsed="false"/>
    <row r="70" customFormat="false" ht="15" hidden="true" customHeight="false" outlineLevel="0" collapsed="false">
      <c r="G70" s="36"/>
    </row>
    <row r="76" customFormat="false" ht="15" hidden="true" customHeight="false" outlineLevel="0" collapsed="false">
      <c r="G76" s="36"/>
    </row>
  </sheetData>
  <mergeCells count="2">
    <mergeCell ref="A1:J1"/>
    <mergeCell ref="J2:M2"/>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K77"/>
  <sheetViews>
    <sheetView showFormulas="false" showGridLines="true" showRowColHeaders="true" showZeros="true" rightToLeft="false" tabSelected="false" showOutlineSymbols="true" defaultGridColor="true" view="normal" topLeftCell="A61" colorId="64" zoomScale="100" zoomScaleNormal="100" zoomScalePageLayoutView="100" workbookViewId="0">
      <selection pane="topLeft" activeCell="F47" activeCellId="0" sqref="F47"/>
    </sheetView>
  </sheetViews>
  <sheetFormatPr defaultColWidth="11.43359375" defaultRowHeight="15" zeroHeight="false" outlineLevelRow="0" outlineLevelCol="0"/>
  <cols>
    <col collapsed="false" customWidth="true" hidden="false" outlineLevel="0" max="1" min="1" style="12" width="6.86"/>
    <col collapsed="false" customWidth="true" hidden="false" outlineLevel="0" max="2" min="2" style="12" width="36.57"/>
    <col collapsed="false" customWidth="true" hidden="false" outlineLevel="0" max="3" min="3" style="12" width="27.85"/>
    <col collapsed="false" customWidth="true" hidden="false" outlineLevel="0" max="6" min="4" style="12" width="30.7"/>
    <col collapsed="false" customWidth="false" hidden="false" outlineLevel="0" max="8" min="7" style="12" width="11.42"/>
    <col collapsed="false" customWidth="true" hidden="false" outlineLevel="0" max="9" min="9" style="12" width="11.29"/>
    <col collapsed="false" customWidth="true" hidden="false" outlineLevel="0" max="10" min="10" style="12" width="3.29"/>
    <col collapsed="false" customWidth="false" hidden="false" outlineLevel="0" max="1024" min="11" style="12" width="11.42"/>
  </cols>
  <sheetData>
    <row r="1" customFormat="false" ht="15" hidden="false" customHeight="false" outlineLevel="0" collapsed="false">
      <c r="A1" s="36" t="s">
        <v>216</v>
      </c>
      <c r="B1" s="36"/>
      <c r="C1" s="114" t="s">
        <v>217</v>
      </c>
      <c r="D1" s="36"/>
      <c r="E1" s="36"/>
      <c r="F1" s="36"/>
      <c r="G1" s="36"/>
      <c r="H1" s="36"/>
      <c r="I1" s="36"/>
    </row>
    <row r="3" customFormat="false" ht="15" hidden="false" customHeight="false" outlineLevel="0" collapsed="false">
      <c r="A3" s="48" t="s">
        <v>218</v>
      </c>
      <c r="B3" s="58" t="s">
        <v>81</v>
      </c>
      <c r="C3" s="58"/>
      <c r="D3" s="58"/>
      <c r="E3" s="58"/>
    </row>
    <row r="4" customFormat="false" ht="15" hidden="false" customHeight="false" outlineLevel="0" collapsed="false">
      <c r="A4" s="60"/>
      <c r="B4" s="115" t="s">
        <v>219</v>
      </c>
      <c r="C4" s="62"/>
      <c r="D4" s="58" t="s">
        <v>220</v>
      </c>
    </row>
    <row r="5" customFormat="false" ht="15" hidden="false" customHeight="false" outlineLevel="0" collapsed="false">
      <c r="A5" s="60"/>
      <c r="B5" s="116" t="s">
        <v>41</v>
      </c>
      <c r="C5" s="62" t="s">
        <v>42</v>
      </c>
      <c r="D5" s="58" t="s">
        <v>221</v>
      </c>
    </row>
    <row r="7" customFormat="false" ht="15" hidden="false" customHeight="false" outlineLevel="0" collapsed="false">
      <c r="A7" s="48" t="s">
        <v>222</v>
      </c>
    </row>
    <row r="8" customFormat="false" ht="15" hidden="false" customHeight="false" outlineLevel="0" collapsed="false">
      <c r="A8" s="92" t="s">
        <v>153</v>
      </c>
      <c r="B8" s="92"/>
      <c r="C8" s="93" t="s">
        <v>154</v>
      </c>
      <c r="D8" s="93"/>
      <c r="E8" s="93" t="s">
        <v>155</v>
      </c>
      <c r="F8" s="93"/>
    </row>
    <row r="9" customFormat="false" ht="15" hidden="false" customHeight="false" outlineLevel="0" collapsed="false">
      <c r="A9" s="92"/>
      <c r="B9" s="92"/>
      <c r="C9" s="93" t="s">
        <v>156</v>
      </c>
      <c r="D9" s="93" t="s">
        <v>157</v>
      </c>
      <c r="E9" s="93" t="s">
        <v>156</v>
      </c>
      <c r="F9" s="93" t="s">
        <v>157</v>
      </c>
    </row>
    <row r="10" customFormat="false" ht="15" hidden="false" customHeight="false" outlineLevel="0" collapsed="false">
      <c r="A10" s="94" t="s">
        <v>125</v>
      </c>
      <c r="B10" s="94"/>
      <c r="C10" s="95"/>
      <c r="D10" s="95"/>
      <c r="E10" s="95"/>
      <c r="F10" s="95"/>
    </row>
    <row r="11" customFormat="false" ht="15" hidden="false" customHeight="false" outlineLevel="0" collapsed="false">
      <c r="A11" s="94" t="s">
        <v>129</v>
      </c>
      <c r="B11" s="94"/>
      <c r="C11" s="95"/>
      <c r="D11" s="95"/>
      <c r="E11" s="95"/>
      <c r="F11" s="95"/>
    </row>
    <row r="12" customFormat="false" ht="15" hidden="false" customHeight="false" outlineLevel="0" collapsed="false">
      <c r="A12" s="94" t="s">
        <v>133</v>
      </c>
      <c r="B12" s="94"/>
      <c r="C12" s="95"/>
      <c r="D12" s="95"/>
      <c r="E12" s="95"/>
      <c r="F12" s="95"/>
    </row>
    <row r="13" customFormat="false" ht="15" hidden="false" customHeight="false" outlineLevel="0" collapsed="false">
      <c r="A13" s="94" t="s">
        <v>137</v>
      </c>
      <c r="B13" s="94"/>
      <c r="C13" s="95"/>
      <c r="D13" s="95"/>
      <c r="E13" s="95"/>
      <c r="F13" s="95"/>
    </row>
    <row r="14" customFormat="false" ht="15" hidden="false" customHeight="false" outlineLevel="0" collapsed="false">
      <c r="A14" s="94" t="s">
        <v>141</v>
      </c>
      <c r="B14" s="94"/>
      <c r="C14" s="95"/>
      <c r="D14" s="95"/>
      <c r="E14" s="95"/>
      <c r="F14" s="95"/>
    </row>
    <row r="15" customFormat="false" ht="15" hidden="false" customHeight="false" outlineLevel="0" collapsed="false">
      <c r="A15" s="94" t="s">
        <v>143</v>
      </c>
      <c r="B15" s="94"/>
      <c r="C15" s="95"/>
      <c r="D15" s="95"/>
      <c r="E15" s="95"/>
      <c r="F15" s="95"/>
    </row>
    <row r="16" customFormat="false" ht="15" hidden="false" customHeight="false" outlineLevel="0" collapsed="false">
      <c r="A16" s="94" t="s">
        <v>147</v>
      </c>
      <c r="B16" s="94"/>
      <c r="C16" s="95"/>
      <c r="D16" s="95"/>
      <c r="E16" s="95"/>
      <c r="F16" s="95"/>
    </row>
    <row r="18" customFormat="false" ht="15.75" hidden="false" customHeight="false" outlineLevel="0" collapsed="false">
      <c r="A18" s="48" t="s">
        <v>223</v>
      </c>
    </row>
    <row r="19" customFormat="false" ht="15.75" hidden="false" customHeight="false" outlineLevel="0" collapsed="false">
      <c r="A19" s="92" t="s">
        <v>153</v>
      </c>
      <c r="B19" s="92"/>
      <c r="C19" s="93" t="s">
        <v>154</v>
      </c>
      <c r="D19" s="93"/>
      <c r="E19" s="93" t="s">
        <v>155</v>
      </c>
      <c r="F19" s="93"/>
      <c r="H19" s="15" t="s">
        <v>16</v>
      </c>
      <c r="I19" s="15"/>
      <c r="J19" s="15"/>
      <c r="K19" s="15"/>
    </row>
    <row r="20" customFormat="false" ht="15" hidden="false" customHeight="false" outlineLevel="0" collapsed="false">
      <c r="A20" s="92"/>
      <c r="B20" s="92"/>
      <c r="C20" s="93" t="s">
        <v>156</v>
      </c>
      <c r="D20" s="93" t="s">
        <v>157</v>
      </c>
      <c r="E20" s="93" t="s">
        <v>156</v>
      </c>
      <c r="F20" s="93" t="s">
        <v>157</v>
      </c>
      <c r="H20" s="17"/>
      <c r="I20" s="18"/>
      <c r="J20" s="18"/>
      <c r="K20" s="19"/>
    </row>
    <row r="21" customFormat="false" ht="15" hidden="false" customHeight="true" outlineLevel="0" collapsed="false">
      <c r="A21" s="94" t="s">
        <v>125</v>
      </c>
      <c r="B21" s="94"/>
      <c r="C21" s="95"/>
      <c r="D21" s="95"/>
      <c r="E21" s="95"/>
      <c r="F21" s="95"/>
      <c r="H21" s="20"/>
      <c r="I21" s="21"/>
      <c r="J21" s="22" t="s">
        <v>18</v>
      </c>
      <c r="K21" s="23"/>
    </row>
    <row r="22" customFormat="false" ht="15" hidden="false" customHeight="false" outlineLevel="0" collapsed="false">
      <c r="A22" s="94" t="s">
        <v>129</v>
      </c>
      <c r="B22" s="94"/>
      <c r="C22" s="95"/>
      <c r="D22" s="95"/>
      <c r="E22" s="95"/>
      <c r="F22" s="95"/>
      <c r="H22" s="20"/>
      <c r="I22" s="27"/>
      <c r="J22" s="22" t="s">
        <v>20</v>
      </c>
      <c r="K22" s="23"/>
    </row>
    <row r="23" customFormat="false" ht="15" hidden="false" customHeight="false" outlineLevel="0" collapsed="false">
      <c r="A23" s="94" t="s">
        <v>133</v>
      </c>
      <c r="B23" s="94"/>
      <c r="C23" s="95"/>
      <c r="D23" s="95"/>
      <c r="E23" s="95"/>
      <c r="F23" s="95"/>
      <c r="H23" s="20"/>
      <c r="I23" s="28"/>
      <c r="J23" s="22" t="s">
        <v>22</v>
      </c>
      <c r="K23" s="23"/>
    </row>
    <row r="24" customFormat="false" ht="15.75" hidden="false" customHeight="false" outlineLevel="0" collapsed="false">
      <c r="A24" s="94" t="s">
        <v>137</v>
      </c>
      <c r="B24" s="94"/>
      <c r="C24" s="95" t="n">
        <f aca="false">C35*C46</f>
        <v>1619.912</v>
      </c>
      <c r="D24" s="95"/>
      <c r="E24" s="95" t="n">
        <f aca="false">E35*E46</f>
        <v>2146.3834</v>
      </c>
      <c r="F24" s="95"/>
      <c r="H24" s="29"/>
      <c r="I24" s="30"/>
      <c r="J24" s="30"/>
      <c r="K24" s="31"/>
    </row>
    <row r="25" customFormat="false" ht="15" hidden="false" customHeight="false" outlineLevel="0" collapsed="false">
      <c r="A25" s="94" t="s">
        <v>141</v>
      </c>
      <c r="B25" s="94"/>
      <c r="C25" s="95"/>
      <c r="D25" s="95"/>
      <c r="E25" s="95"/>
      <c r="F25" s="95"/>
    </row>
    <row r="26" customFormat="false" ht="15" hidden="false" customHeight="false" outlineLevel="0" collapsed="false">
      <c r="A26" s="94" t="s">
        <v>143</v>
      </c>
      <c r="B26" s="94"/>
      <c r="C26" s="95"/>
      <c r="D26" s="95"/>
      <c r="E26" s="95"/>
      <c r="F26" s="95"/>
    </row>
    <row r="27" customFormat="false" ht="15" hidden="false" customHeight="false" outlineLevel="0" collapsed="false">
      <c r="A27" s="94" t="s">
        <v>147</v>
      </c>
      <c r="B27" s="94"/>
      <c r="C27" s="95"/>
      <c r="D27" s="95"/>
      <c r="E27" s="95"/>
      <c r="F27" s="95"/>
    </row>
    <row r="29" customFormat="false" ht="15" hidden="false" customHeight="false" outlineLevel="0" collapsed="false">
      <c r="A29" s="48" t="s">
        <v>224</v>
      </c>
    </row>
    <row r="30" customFormat="false" ht="15" hidden="false" customHeight="false" outlineLevel="0" collapsed="false">
      <c r="A30" s="92" t="s">
        <v>153</v>
      </c>
      <c r="B30" s="92"/>
      <c r="C30" s="93" t="s">
        <v>154</v>
      </c>
      <c r="D30" s="93"/>
      <c r="E30" s="93" t="s">
        <v>155</v>
      </c>
      <c r="F30" s="93"/>
    </row>
    <row r="31" customFormat="false" ht="15" hidden="false" customHeight="false" outlineLevel="0" collapsed="false">
      <c r="A31" s="92"/>
      <c r="B31" s="92"/>
      <c r="C31" s="93" t="s">
        <v>156</v>
      </c>
      <c r="D31" s="93" t="s">
        <v>157</v>
      </c>
      <c r="E31" s="93" t="s">
        <v>156</v>
      </c>
      <c r="F31" s="93" t="s">
        <v>157</v>
      </c>
    </row>
    <row r="32" customFormat="false" ht="15" hidden="false" customHeight="true" outlineLevel="0" collapsed="false">
      <c r="A32" s="94" t="s">
        <v>125</v>
      </c>
      <c r="B32" s="94"/>
      <c r="C32" s="95"/>
      <c r="D32" s="95"/>
      <c r="E32" s="95"/>
      <c r="F32" s="95"/>
    </row>
    <row r="33" customFormat="false" ht="15" hidden="false" customHeight="false" outlineLevel="0" collapsed="false">
      <c r="A33" s="94" t="s">
        <v>129</v>
      </c>
      <c r="B33" s="94"/>
      <c r="C33" s="95"/>
      <c r="D33" s="95"/>
      <c r="E33" s="95"/>
      <c r="F33" s="95"/>
    </row>
    <row r="34" customFormat="false" ht="15" hidden="false" customHeight="false" outlineLevel="0" collapsed="false">
      <c r="A34" s="94" t="s">
        <v>133</v>
      </c>
      <c r="B34" s="94"/>
      <c r="C34" s="95"/>
      <c r="D34" s="95"/>
      <c r="E34" s="95"/>
      <c r="F34" s="95"/>
    </row>
    <row r="35" customFormat="false" ht="15" hidden="false" customHeight="false" outlineLevel="0" collapsed="false">
      <c r="A35" s="94" t="s">
        <v>137</v>
      </c>
      <c r="B35" s="94"/>
      <c r="C35" s="95" t="n">
        <f aca="false">'1.4 Indicadores'!E20</f>
        <v>4049.78</v>
      </c>
      <c r="D35" s="95"/>
      <c r="E35" s="95" t="n">
        <f aca="false">'1.4 Indicadores'!E20</f>
        <v>4049.78</v>
      </c>
      <c r="F35" s="95"/>
    </row>
    <row r="36" customFormat="false" ht="15" hidden="false" customHeight="false" outlineLevel="0" collapsed="false">
      <c r="A36" s="94" t="s">
        <v>141</v>
      </c>
      <c r="B36" s="94"/>
      <c r="C36" s="95"/>
      <c r="D36" s="95"/>
      <c r="E36" s="95"/>
      <c r="F36" s="95"/>
    </row>
    <row r="37" customFormat="false" ht="15" hidden="false" customHeight="false" outlineLevel="0" collapsed="false">
      <c r="A37" s="94" t="s">
        <v>143</v>
      </c>
      <c r="B37" s="94"/>
      <c r="C37" s="95"/>
      <c r="D37" s="95"/>
      <c r="E37" s="95"/>
      <c r="F37" s="95"/>
    </row>
    <row r="38" customFormat="false" ht="15" hidden="false" customHeight="false" outlineLevel="0" collapsed="false">
      <c r="A38" s="94" t="s">
        <v>147</v>
      </c>
      <c r="B38" s="94"/>
      <c r="C38" s="95"/>
      <c r="D38" s="95"/>
      <c r="E38" s="95"/>
      <c r="F38" s="95"/>
    </row>
    <row r="40" customFormat="false" ht="15" hidden="false" customHeight="false" outlineLevel="0" collapsed="false">
      <c r="A40" s="48" t="s">
        <v>225</v>
      </c>
    </row>
    <row r="41" customFormat="false" ht="15" hidden="false" customHeight="false" outlineLevel="0" collapsed="false">
      <c r="A41" s="117" t="s">
        <v>153</v>
      </c>
      <c r="B41" s="117"/>
      <c r="C41" s="118" t="s">
        <v>154</v>
      </c>
      <c r="D41" s="118"/>
      <c r="E41" s="118" t="s">
        <v>155</v>
      </c>
      <c r="F41" s="118"/>
    </row>
    <row r="42" customFormat="false" ht="15" hidden="false" customHeight="false" outlineLevel="0" collapsed="false">
      <c r="A42" s="117"/>
      <c r="B42" s="117"/>
      <c r="C42" s="118" t="s">
        <v>156</v>
      </c>
      <c r="D42" s="118" t="s">
        <v>157</v>
      </c>
      <c r="E42" s="118" t="s">
        <v>156</v>
      </c>
      <c r="F42" s="118" t="s">
        <v>157</v>
      </c>
    </row>
    <row r="43" customFormat="false" ht="15" hidden="false" customHeight="true" outlineLevel="0" collapsed="false">
      <c r="A43" s="119" t="s">
        <v>125</v>
      </c>
      <c r="B43" s="119"/>
      <c r="C43" s="120" t="str">
        <f aca="false">IFERROR(C21/C32,"")</f>
        <v/>
      </c>
      <c r="D43" s="120" t="str">
        <f aca="false">IFERROR(D21/D32,"")</f>
        <v/>
      </c>
      <c r="E43" s="120" t="str">
        <f aca="false">IFERROR(E21/E32,"")</f>
        <v/>
      </c>
      <c r="F43" s="120" t="str">
        <f aca="false">IFERROR(F21/F32,"")</f>
        <v/>
      </c>
    </row>
    <row r="44" customFormat="false" ht="15" hidden="false" customHeight="false" outlineLevel="0" collapsed="false">
      <c r="A44" s="119" t="s">
        <v>129</v>
      </c>
      <c r="B44" s="119"/>
      <c r="C44" s="120" t="str">
        <f aca="false">IFERROR(C22/C33,"")</f>
        <v/>
      </c>
      <c r="D44" s="120" t="str">
        <f aca="false">IFERROR(D22/D33,"")</f>
        <v/>
      </c>
      <c r="E44" s="120" t="str">
        <f aca="false">IFERROR(E22/E33,"")</f>
        <v/>
      </c>
      <c r="F44" s="120" t="str">
        <f aca="false">IFERROR(F22/F33,"")</f>
        <v/>
      </c>
    </row>
    <row r="45" customFormat="false" ht="15" hidden="false" customHeight="false" outlineLevel="0" collapsed="false">
      <c r="A45" s="119" t="s">
        <v>133</v>
      </c>
      <c r="B45" s="119"/>
      <c r="C45" s="120" t="str">
        <f aca="false">IFERROR(C23/C34,"")</f>
        <v/>
      </c>
      <c r="D45" s="120" t="str">
        <f aca="false">IFERROR(D23/D34,"")</f>
        <v/>
      </c>
      <c r="E45" s="120" t="str">
        <f aca="false">IFERROR(E23/E34,"")</f>
        <v/>
      </c>
      <c r="F45" s="120" t="str">
        <f aca="false">IFERROR(F23/F34,"")</f>
        <v/>
      </c>
    </row>
    <row r="46" customFormat="false" ht="15" hidden="false" customHeight="false" outlineLevel="0" collapsed="false">
      <c r="A46" s="119" t="s">
        <v>137</v>
      </c>
      <c r="B46" s="119"/>
      <c r="C46" s="120" t="n">
        <v>0.4</v>
      </c>
      <c r="D46" s="120" t="str">
        <f aca="false">IFERROR(D24/D35,"")</f>
        <v/>
      </c>
      <c r="E46" s="120" t="n">
        <v>0.53</v>
      </c>
      <c r="F46" s="120" t="str">
        <f aca="false">IFERROR(F24/F35,"")</f>
        <v/>
      </c>
    </row>
    <row r="47" customFormat="false" ht="15" hidden="false" customHeight="false" outlineLevel="0" collapsed="false">
      <c r="A47" s="119" t="s">
        <v>141</v>
      </c>
      <c r="B47" s="119"/>
      <c r="C47" s="120" t="str">
        <f aca="false">IFERROR(C25/C36,"")</f>
        <v/>
      </c>
      <c r="D47" s="120" t="str">
        <f aca="false">IFERROR(D25/D36,"")</f>
        <v/>
      </c>
      <c r="E47" s="120" t="str">
        <f aca="false">IFERROR(E25/E36,"")</f>
        <v/>
      </c>
      <c r="F47" s="120" t="str">
        <f aca="false">IFERROR(F25/F36,"")</f>
        <v/>
      </c>
    </row>
    <row r="48" customFormat="false" ht="15" hidden="false" customHeight="false" outlineLevel="0" collapsed="false">
      <c r="A48" s="119" t="s">
        <v>143</v>
      </c>
      <c r="B48" s="119"/>
      <c r="C48" s="120" t="str">
        <f aca="false">IFERROR(C26/C37,"")</f>
        <v/>
      </c>
      <c r="D48" s="120" t="str">
        <f aca="false">IFERROR(D26/D37,"")</f>
        <v/>
      </c>
      <c r="E48" s="120" t="str">
        <f aca="false">IFERROR(E26/E37,"")</f>
        <v/>
      </c>
      <c r="F48" s="120" t="str">
        <f aca="false">IFERROR(F26/F37,"")</f>
        <v/>
      </c>
    </row>
    <row r="49" customFormat="false" ht="15" hidden="false" customHeight="false" outlineLevel="0" collapsed="false">
      <c r="A49" s="119" t="s">
        <v>147</v>
      </c>
      <c r="B49" s="119"/>
      <c r="C49" s="120" t="str">
        <f aca="false">IFERROR(C27/C38,"")</f>
        <v/>
      </c>
      <c r="D49" s="120" t="str">
        <f aca="false">IFERROR(D27/D38,"")</f>
        <v/>
      </c>
      <c r="E49" s="120" t="str">
        <f aca="false">IFERROR(E27/E38,"")</f>
        <v/>
      </c>
      <c r="F49" s="120" t="str">
        <f aca="false">IFERROR(F27/F38,"")</f>
        <v/>
      </c>
    </row>
    <row r="51" customFormat="false" ht="15" hidden="false" customHeight="false" outlineLevel="0" collapsed="false">
      <c r="A51" s="121" t="s">
        <v>226</v>
      </c>
      <c r="B51" s="48" t="s">
        <v>227</v>
      </c>
      <c r="E51" s="122" t="s">
        <v>228</v>
      </c>
    </row>
    <row r="52" customFormat="false" ht="15" hidden="false" customHeight="false" outlineLevel="0" collapsed="false">
      <c r="A52" s="92" t="s">
        <v>153</v>
      </c>
      <c r="B52" s="92"/>
      <c r="C52" s="93" t="s">
        <v>154</v>
      </c>
      <c r="D52" s="93"/>
      <c r="E52" s="93" t="s">
        <v>155</v>
      </c>
      <c r="F52" s="93"/>
    </row>
    <row r="53" customFormat="false" ht="15" hidden="false" customHeight="false" outlineLevel="0" collapsed="false">
      <c r="A53" s="92"/>
      <c r="B53" s="92"/>
      <c r="C53" s="93" t="s">
        <v>156</v>
      </c>
      <c r="D53" s="93" t="s">
        <v>157</v>
      </c>
      <c r="E53" s="93" t="s">
        <v>156</v>
      </c>
      <c r="F53" s="93" t="s">
        <v>157</v>
      </c>
    </row>
    <row r="54" customFormat="false" ht="15" hidden="false" customHeight="false" outlineLevel="0" collapsed="false">
      <c r="A54" s="94" t="s">
        <v>125</v>
      </c>
      <c r="B54" s="94"/>
      <c r="C54" s="95"/>
      <c r="D54" s="95"/>
      <c r="E54" s="95"/>
      <c r="F54" s="95"/>
    </row>
    <row r="55" customFormat="false" ht="15" hidden="false" customHeight="false" outlineLevel="0" collapsed="false">
      <c r="A55" s="94" t="s">
        <v>129</v>
      </c>
      <c r="B55" s="94"/>
      <c r="C55" s="95"/>
      <c r="D55" s="95"/>
      <c r="E55" s="95"/>
      <c r="F55" s="95"/>
    </row>
    <row r="56" customFormat="false" ht="15" hidden="false" customHeight="false" outlineLevel="0" collapsed="false">
      <c r="A56" s="94" t="s">
        <v>133</v>
      </c>
      <c r="B56" s="94"/>
      <c r="C56" s="95"/>
      <c r="D56" s="95"/>
      <c r="E56" s="95"/>
      <c r="F56" s="95"/>
    </row>
    <row r="57" customFormat="false" ht="15" hidden="false" customHeight="false" outlineLevel="0" collapsed="false">
      <c r="A57" s="94" t="s">
        <v>137</v>
      </c>
      <c r="B57" s="94"/>
      <c r="C57" s="95" t="n">
        <f aca="false">C35*11</f>
        <v>44547.58</v>
      </c>
      <c r="D57" s="95"/>
      <c r="E57" s="95" t="n">
        <f aca="false">E35*2</f>
        <v>8099.56</v>
      </c>
      <c r="F57" s="95"/>
    </row>
    <row r="58" customFormat="false" ht="15" hidden="false" customHeight="false" outlineLevel="0" collapsed="false">
      <c r="A58" s="94" t="s">
        <v>141</v>
      </c>
      <c r="B58" s="94"/>
      <c r="C58" s="95"/>
      <c r="D58" s="95"/>
      <c r="E58" s="95"/>
      <c r="F58" s="95"/>
    </row>
    <row r="59" customFormat="false" ht="15" hidden="false" customHeight="false" outlineLevel="0" collapsed="false">
      <c r="A59" s="94" t="s">
        <v>143</v>
      </c>
      <c r="B59" s="94"/>
      <c r="C59" s="95"/>
      <c r="D59" s="95"/>
      <c r="E59" s="95"/>
      <c r="F59" s="95"/>
    </row>
    <row r="60" customFormat="false" ht="15" hidden="false" customHeight="false" outlineLevel="0" collapsed="false">
      <c r="A60" s="94" t="s">
        <v>147</v>
      </c>
      <c r="B60" s="94"/>
      <c r="C60" s="95"/>
      <c r="D60" s="95"/>
      <c r="E60" s="95"/>
      <c r="F60" s="95"/>
    </row>
    <row r="62" customFormat="false" ht="15" hidden="false" customHeight="false" outlineLevel="0" collapsed="false">
      <c r="A62" s="48" t="s">
        <v>229</v>
      </c>
    </row>
    <row r="63" customFormat="false" ht="15" hidden="false" customHeight="false" outlineLevel="0" collapsed="false">
      <c r="A63" s="117" t="s">
        <v>153</v>
      </c>
      <c r="B63" s="117"/>
      <c r="C63" s="118" t="s">
        <v>154</v>
      </c>
      <c r="D63" s="118"/>
      <c r="E63" s="118" t="s">
        <v>155</v>
      </c>
      <c r="F63" s="118"/>
    </row>
    <row r="64" customFormat="false" ht="15" hidden="false" customHeight="false" outlineLevel="0" collapsed="false">
      <c r="A64" s="117"/>
      <c r="B64" s="117"/>
      <c r="C64" s="118" t="s">
        <v>156</v>
      </c>
      <c r="D64" s="118" t="s">
        <v>157</v>
      </c>
      <c r="E64" s="118" t="s">
        <v>156</v>
      </c>
      <c r="F64" s="118" t="s">
        <v>157</v>
      </c>
    </row>
    <row r="65" customFormat="false" ht="15" hidden="false" customHeight="true" outlineLevel="0" collapsed="false">
      <c r="A65" s="119" t="s">
        <v>125</v>
      </c>
      <c r="B65" s="119"/>
      <c r="C65" s="123" t="str">
        <f aca="false">IFERROR(IF($C$4&lt;&gt;0,C10*C54,C43*C54),"")</f>
        <v/>
      </c>
      <c r="D65" s="123" t="str">
        <f aca="false">IFERROR(IF($C$4&lt;&gt;0,D10*D54,D43*D54),"")</f>
        <v/>
      </c>
      <c r="E65" s="123" t="str">
        <f aca="false">IFERROR(IF($C$4&lt;&gt;0,E10*E54,E43*E54),"")</f>
        <v/>
      </c>
      <c r="F65" s="123" t="str">
        <f aca="false">IFERROR(IF($C$4&lt;&gt;0,F10*F54,F43*F54),"")</f>
        <v/>
      </c>
    </row>
    <row r="66" customFormat="false" ht="15" hidden="false" customHeight="false" outlineLevel="0" collapsed="false">
      <c r="A66" s="119" t="s">
        <v>129</v>
      </c>
      <c r="B66" s="119"/>
      <c r="C66" s="123" t="str">
        <f aca="false">IFERROR(IF($C$4&lt;&gt;0,C11*C55,C44*C55),"")</f>
        <v/>
      </c>
      <c r="D66" s="123" t="str">
        <f aca="false">IFERROR(IF($C$4&lt;&gt;0,D11*D55,D44*D55),"")</f>
        <v/>
      </c>
      <c r="E66" s="123" t="str">
        <f aca="false">IFERROR(IF($C$4&lt;&gt;0,E11*E55,E44*E55),"")</f>
        <v/>
      </c>
      <c r="F66" s="123" t="str">
        <f aca="false">IFERROR(IF($C$4&lt;&gt;0,F11*F55,F44*F55),"")</f>
        <v/>
      </c>
    </row>
    <row r="67" customFormat="false" ht="15" hidden="false" customHeight="false" outlineLevel="0" collapsed="false">
      <c r="A67" s="119" t="s">
        <v>133</v>
      </c>
      <c r="B67" s="119"/>
      <c r="C67" s="123" t="str">
        <f aca="false">IFERROR(IF($C$4&lt;&gt;0,C12*C56,C45*C56),"")</f>
        <v/>
      </c>
      <c r="D67" s="123" t="str">
        <f aca="false">IFERROR(IF($C$4&lt;&gt;0,D12*D56,D45*D56),"")</f>
        <v/>
      </c>
      <c r="E67" s="123" t="str">
        <f aca="false">IFERROR(IF($C$4&lt;&gt;0,E12*E56,E45*E56),"")</f>
        <v/>
      </c>
      <c r="F67" s="123" t="str">
        <f aca="false">IFERROR(IF($C$4&lt;&gt;0,F12*F56,F45*F56),"")</f>
        <v/>
      </c>
    </row>
    <row r="68" customFormat="false" ht="15" hidden="false" customHeight="false" outlineLevel="0" collapsed="false">
      <c r="A68" s="119" t="s">
        <v>137</v>
      </c>
      <c r="B68" s="119"/>
      <c r="C68" s="124" t="n">
        <f aca="false">IFERROR(IF($C$4&lt;&gt;0,C13*C57,C46*C57),"")</f>
        <v>17819.032</v>
      </c>
      <c r="D68" s="124" t="str">
        <f aca="false">IFERROR(IF($C$4&lt;&gt;0,D13*D57,D46*D57),"")</f>
        <v/>
      </c>
      <c r="E68" s="124" t="n">
        <f aca="false">IFERROR(IF($C$4&lt;&gt;0,E13*E57,E46*E57),"")</f>
        <v>4292.7668</v>
      </c>
      <c r="F68" s="123" t="str">
        <f aca="false">IFERROR(IF($C$4&lt;&gt;0,F13*F57,F46*F57),"")</f>
        <v/>
      </c>
    </row>
    <row r="69" customFormat="false" ht="15" hidden="false" customHeight="false" outlineLevel="0" collapsed="false">
      <c r="A69" s="119" t="s">
        <v>141</v>
      </c>
      <c r="B69" s="119"/>
      <c r="C69" s="123" t="str">
        <f aca="false">IFERROR(IF($C$4&lt;&gt;0,C14*C58,C47*C58),"")</f>
        <v/>
      </c>
      <c r="D69" s="123" t="str">
        <f aca="false">IFERROR(IF($C$4&lt;&gt;0,D14*D58,D47*D58),"")</f>
        <v/>
      </c>
      <c r="E69" s="123" t="str">
        <f aca="false">IFERROR(IF($C$4&lt;&gt;0,E14*E58,E47*E58),"")</f>
        <v/>
      </c>
      <c r="F69" s="123" t="str">
        <f aca="false">IFERROR(IF($C$4&lt;&gt;0,F14*F58,F47*F58),"")</f>
        <v/>
      </c>
    </row>
    <row r="70" customFormat="false" ht="15" hidden="false" customHeight="false" outlineLevel="0" collapsed="false">
      <c r="A70" s="119" t="s">
        <v>143</v>
      </c>
      <c r="B70" s="119"/>
      <c r="C70" s="123" t="str">
        <f aca="false">IFERROR(IF($C$4&lt;&gt;0,C15*C59,C48*C59),"")</f>
        <v/>
      </c>
      <c r="D70" s="123" t="str">
        <f aca="false">IFERROR(IF($C$4&lt;&gt;0,D15*D59,D48*D59),"")</f>
        <v/>
      </c>
      <c r="E70" s="123" t="str">
        <f aca="false">IFERROR(IF($C$4&lt;&gt;0,E15*E59,E48*E59),"")</f>
        <v/>
      </c>
      <c r="F70" s="123" t="str">
        <f aca="false">IFERROR(IF($C$4&lt;&gt;0,F15*F59,F48*F59),"")</f>
        <v/>
      </c>
    </row>
    <row r="71" customFormat="false" ht="15" hidden="false" customHeight="false" outlineLevel="0" collapsed="false">
      <c r="A71" s="119" t="s">
        <v>147</v>
      </c>
      <c r="B71" s="119"/>
      <c r="C71" s="123" t="str">
        <f aca="false">IFERROR(IF($C$4&lt;&gt;0,C16*C60,C49*C60),"")</f>
        <v/>
      </c>
      <c r="D71" s="123" t="str">
        <f aca="false">IFERROR(IF($C$4&lt;&gt;0,D16*D60,D49*D60),"")</f>
        <v/>
      </c>
      <c r="E71" s="123" t="str">
        <f aca="false">IFERROR(IF($C$4&lt;&gt;0,E16*E60,E49*E60),"")</f>
        <v/>
      </c>
      <c r="F71" s="123" t="str">
        <f aca="false">IFERROR(IF($C$4&lt;&gt;0,F16*F60,F49*F60),"")</f>
        <v/>
      </c>
    </row>
    <row r="73" customFormat="false" ht="21" hidden="false" customHeight="false" outlineLevel="0" collapsed="false">
      <c r="A73" s="103"/>
      <c r="B73" s="125" t="s">
        <v>230</v>
      </c>
      <c r="C73" s="126" t="n">
        <f aca="false">SUM(C65:F71)</f>
        <v>22111.7988</v>
      </c>
      <c r="D73" s="127" t="s">
        <v>231</v>
      </c>
    </row>
    <row r="74" customFormat="false" ht="15" hidden="false" customHeight="false" outlineLevel="0" collapsed="false">
      <c r="E74" s="128"/>
    </row>
    <row r="77" customFormat="false" ht="15" hidden="false" customHeight="false" outlineLevel="0" collapsed="false">
      <c r="D77" s="129"/>
    </row>
  </sheetData>
  <mergeCells count="61">
    <mergeCell ref="A8:B9"/>
    <mergeCell ref="C8:D8"/>
    <mergeCell ref="E8:F8"/>
    <mergeCell ref="A10:B10"/>
    <mergeCell ref="A11:B11"/>
    <mergeCell ref="A12:B12"/>
    <mergeCell ref="A13:B13"/>
    <mergeCell ref="A14:B14"/>
    <mergeCell ref="A15:B15"/>
    <mergeCell ref="A16:B16"/>
    <mergeCell ref="A19:B20"/>
    <mergeCell ref="C19:D19"/>
    <mergeCell ref="E19:F19"/>
    <mergeCell ref="H19:K19"/>
    <mergeCell ref="A21:B21"/>
    <mergeCell ref="A22:B22"/>
    <mergeCell ref="A23:B23"/>
    <mergeCell ref="A24:B24"/>
    <mergeCell ref="A25:B25"/>
    <mergeCell ref="A26:B26"/>
    <mergeCell ref="A27:B27"/>
    <mergeCell ref="A30:B31"/>
    <mergeCell ref="C30:D30"/>
    <mergeCell ref="E30:F30"/>
    <mergeCell ref="A32:B32"/>
    <mergeCell ref="A33:B33"/>
    <mergeCell ref="A34:B34"/>
    <mergeCell ref="A35:B35"/>
    <mergeCell ref="A36:B36"/>
    <mergeCell ref="A37:B37"/>
    <mergeCell ref="A38:B38"/>
    <mergeCell ref="A41:B42"/>
    <mergeCell ref="C41:D41"/>
    <mergeCell ref="E41:F41"/>
    <mergeCell ref="A43:B43"/>
    <mergeCell ref="A44:B44"/>
    <mergeCell ref="A45:B45"/>
    <mergeCell ref="A46:B46"/>
    <mergeCell ref="A47:B47"/>
    <mergeCell ref="A48:B48"/>
    <mergeCell ref="A49:B49"/>
    <mergeCell ref="A52:B53"/>
    <mergeCell ref="C52:D52"/>
    <mergeCell ref="E52:F52"/>
    <mergeCell ref="A54:B54"/>
    <mergeCell ref="A55:B55"/>
    <mergeCell ref="A56:B56"/>
    <mergeCell ref="A57:B57"/>
    <mergeCell ref="A58:B58"/>
    <mergeCell ref="A59:B59"/>
    <mergeCell ref="A60:B60"/>
    <mergeCell ref="A63:B64"/>
    <mergeCell ref="C63:D63"/>
    <mergeCell ref="E63:F63"/>
    <mergeCell ref="A65:B65"/>
    <mergeCell ref="A66:B66"/>
    <mergeCell ref="A67:B67"/>
    <mergeCell ref="A68:B68"/>
    <mergeCell ref="A69:B69"/>
    <mergeCell ref="A70:B70"/>
    <mergeCell ref="A71:B71"/>
  </mergeCells>
  <hyperlinks>
    <hyperlink ref="C1" location="'A.III. Combustível'!A1" display="Consultar a aba A.III.Combustível"/>
  </hyperlink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false"/>
  </sheetPr>
  <dimension ref="A1:G58"/>
  <sheetViews>
    <sheetView showFormulas="false" showGridLines="true" showRowColHeaders="true" showZeros="true" rightToLeft="false" tabSelected="false" showOutlineSymbols="true" defaultGridColor="true" view="normal" topLeftCell="A43" colorId="64" zoomScale="100" zoomScaleNormal="100" zoomScalePageLayoutView="100" workbookViewId="0">
      <selection pane="topLeft" activeCell="D58" activeCellId="0" sqref="D58"/>
    </sheetView>
  </sheetViews>
  <sheetFormatPr defaultColWidth="11.53515625" defaultRowHeight="15" zeroHeight="false" outlineLevelRow="0" outlineLevelCol="0"/>
  <cols>
    <col collapsed="false" customWidth="true" hidden="false" outlineLevel="0" max="1" min="1" style="12" width="7.29"/>
    <col collapsed="false" customWidth="true" hidden="false" outlineLevel="0" max="2" min="2" style="12" width="38.14"/>
    <col collapsed="false" customWidth="true" hidden="false" outlineLevel="0" max="3" min="3" style="12" width="10"/>
    <col collapsed="false" customWidth="true" hidden="false" outlineLevel="0" max="4" min="4" style="12" width="35"/>
    <col collapsed="false" customWidth="true" hidden="false" outlineLevel="0" max="7" min="5" style="12" width="30.7"/>
    <col collapsed="false" customWidth="true" hidden="false" outlineLevel="0" max="8" min="8" style="12" width="5.14"/>
    <col collapsed="false" customWidth="false" hidden="true" outlineLevel="0" max="1024" min="9" style="12" width="11.52"/>
  </cols>
  <sheetData>
    <row r="1" customFormat="false" ht="15" hidden="false" customHeight="false" outlineLevel="0" collapsed="false">
      <c r="A1" s="36" t="s">
        <v>232</v>
      </c>
      <c r="B1" s="48"/>
    </row>
    <row r="3" customFormat="false" ht="15" hidden="false" customHeight="false" outlineLevel="0" collapsed="false">
      <c r="A3" s="48" t="s">
        <v>233</v>
      </c>
      <c r="B3" s="48" t="s">
        <v>234</v>
      </c>
    </row>
    <row r="4" customFormat="false" ht="15" hidden="false" customHeight="false" outlineLevel="0" collapsed="false">
      <c r="A4" s="93" t="s">
        <v>153</v>
      </c>
      <c r="B4" s="93"/>
      <c r="C4" s="93"/>
      <c r="D4" s="93" t="s">
        <v>154</v>
      </c>
      <c r="E4" s="93"/>
      <c r="F4" s="93" t="s">
        <v>155</v>
      </c>
      <c r="G4" s="93"/>
    </row>
    <row r="5" customFormat="false" ht="15" hidden="false" customHeight="false" outlineLevel="0" collapsed="false">
      <c r="A5" s="93"/>
      <c r="B5" s="93"/>
      <c r="C5" s="93"/>
      <c r="D5" s="93" t="s">
        <v>156</v>
      </c>
      <c r="E5" s="93" t="s">
        <v>157</v>
      </c>
      <c r="F5" s="93" t="s">
        <v>156</v>
      </c>
      <c r="G5" s="93" t="s">
        <v>157</v>
      </c>
    </row>
    <row r="6" customFormat="false" ht="15" hidden="false" customHeight="true" outlineLevel="0" collapsed="false">
      <c r="A6" s="102" t="s">
        <v>125</v>
      </c>
      <c r="B6" s="102"/>
      <c r="C6" s="102"/>
      <c r="D6" s="130"/>
      <c r="E6" s="130"/>
      <c r="F6" s="130"/>
      <c r="G6" s="130"/>
    </row>
    <row r="7" customFormat="false" ht="15" hidden="false" customHeight="false" outlineLevel="0" collapsed="false">
      <c r="A7" s="102" t="s">
        <v>129</v>
      </c>
      <c r="B7" s="102"/>
      <c r="C7" s="102"/>
      <c r="D7" s="130"/>
      <c r="E7" s="130"/>
      <c r="F7" s="130"/>
      <c r="G7" s="130"/>
    </row>
    <row r="8" customFormat="false" ht="15" hidden="false" customHeight="false" outlineLevel="0" collapsed="false">
      <c r="A8" s="102" t="s">
        <v>133</v>
      </c>
      <c r="B8" s="102"/>
      <c r="C8" s="102"/>
      <c r="D8" s="130"/>
      <c r="E8" s="130"/>
      <c r="F8" s="130"/>
      <c r="G8" s="130"/>
    </row>
    <row r="9" customFormat="false" ht="15" hidden="false" customHeight="false" outlineLevel="0" collapsed="false">
      <c r="A9" s="102" t="s">
        <v>137</v>
      </c>
      <c r="B9" s="102"/>
      <c r="C9" s="102"/>
      <c r="D9" s="130" t="n">
        <v>645000</v>
      </c>
      <c r="E9" s="130"/>
      <c r="F9" s="130" t="n">
        <v>745760</v>
      </c>
      <c r="G9" s="130"/>
    </row>
    <row r="10" customFormat="false" ht="15" hidden="false" customHeight="false" outlineLevel="0" collapsed="false">
      <c r="A10" s="102" t="s">
        <v>141</v>
      </c>
      <c r="B10" s="102"/>
      <c r="C10" s="102"/>
      <c r="D10" s="130"/>
      <c r="E10" s="130"/>
      <c r="F10" s="130"/>
      <c r="G10" s="130"/>
    </row>
    <row r="11" customFormat="false" ht="15" hidden="false" customHeight="false" outlineLevel="0" collapsed="false">
      <c r="A11" s="102" t="s">
        <v>143</v>
      </c>
      <c r="B11" s="102"/>
      <c r="C11" s="102"/>
      <c r="D11" s="130"/>
      <c r="E11" s="130"/>
      <c r="F11" s="130"/>
      <c r="G11" s="130"/>
    </row>
    <row r="12" customFormat="false" ht="15" hidden="false" customHeight="false" outlineLevel="0" collapsed="false">
      <c r="A12" s="102" t="s">
        <v>147</v>
      </c>
      <c r="B12" s="102"/>
      <c r="C12" s="102"/>
      <c r="D12" s="130"/>
      <c r="E12" s="130"/>
      <c r="F12" s="130"/>
      <c r="G12" s="130"/>
    </row>
    <row r="13" customFormat="false" ht="15" hidden="false" customHeight="false" outlineLevel="0" collapsed="false">
      <c r="A13" s="48"/>
      <c r="B13" s="48"/>
    </row>
    <row r="14" customFormat="false" ht="15" hidden="false" customHeight="false" outlineLevel="0" collapsed="false">
      <c r="A14" s="103" t="s">
        <v>235</v>
      </c>
      <c r="B14" s="48" t="s">
        <v>236</v>
      </c>
    </row>
    <row r="15" customFormat="false" ht="15" hidden="false" customHeight="false" outlineLevel="0" collapsed="false">
      <c r="A15" s="93" t="s">
        <v>165</v>
      </c>
      <c r="B15" s="93"/>
      <c r="C15" s="93"/>
      <c r="D15" s="93" t="s">
        <v>237</v>
      </c>
    </row>
    <row r="16" customFormat="false" ht="15" hidden="false" customHeight="false" outlineLevel="0" collapsed="false">
      <c r="A16" s="93"/>
      <c r="B16" s="93"/>
      <c r="C16" s="93"/>
      <c r="D16" s="93"/>
    </row>
    <row r="17" customFormat="false" ht="15" hidden="false" customHeight="false" outlineLevel="0" collapsed="false">
      <c r="A17" s="102" t="s">
        <v>167</v>
      </c>
      <c r="B17" s="102"/>
      <c r="C17" s="102"/>
      <c r="D17" s="131"/>
    </row>
    <row r="18" customFormat="false" ht="15" hidden="false" customHeight="false" outlineLevel="0" collapsed="false">
      <c r="A18" s="102" t="s">
        <v>168</v>
      </c>
      <c r="B18" s="102"/>
      <c r="C18" s="102"/>
      <c r="D18" s="131"/>
    </row>
    <row r="19" customFormat="false" ht="15" hidden="false" customHeight="false" outlineLevel="0" collapsed="false">
      <c r="A19" s="102" t="s">
        <v>169</v>
      </c>
      <c r="B19" s="102"/>
      <c r="C19" s="102"/>
      <c r="D19" s="131" t="n">
        <v>35000</v>
      </c>
    </row>
    <row r="20" customFormat="false" ht="15" hidden="false" customHeight="false" outlineLevel="0" collapsed="false">
      <c r="A20" s="102" t="s">
        <v>170</v>
      </c>
      <c r="B20" s="102"/>
      <c r="C20" s="102"/>
      <c r="D20" s="131" t="n">
        <v>35000</v>
      </c>
    </row>
    <row r="21" customFormat="false" ht="15" hidden="false" customHeight="false" outlineLevel="0" collapsed="false">
      <c r="A21" s="102" t="s">
        <v>171</v>
      </c>
      <c r="B21" s="102"/>
      <c r="C21" s="102"/>
      <c r="D21" s="131"/>
    </row>
    <row r="22" customFormat="false" ht="15" hidden="false" customHeight="false" outlineLevel="0" collapsed="false">
      <c r="A22" s="48"/>
      <c r="B22" s="48"/>
    </row>
    <row r="23" customFormat="false" ht="15" hidden="false" customHeight="false" outlineLevel="0" collapsed="false">
      <c r="A23" s="48" t="s">
        <v>238</v>
      </c>
      <c r="B23" s="48" t="s">
        <v>239</v>
      </c>
    </row>
    <row r="24" customFormat="false" ht="15" hidden="false" customHeight="false" outlineLevel="0" collapsed="false">
      <c r="A24" s="118" t="s">
        <v>153</v>
      </c>
      <c r="B24" s="118"/>
      <c r="C24" s="118"/>
      <c r="D24" s="118" t="s">
        <v>154</v>
      </c>
      <c r="E24" s="118"/>
      <c r="F24" s="118" t="s">
        <v>155</v>
      </c>
      <c r="G24" s="118"/>
    </row>
    <row r="25" customFormat="false" ht="15" hidden="false" customHeight="false" outlineLevel="0" collapsed="false">
      <c r="A25" s="118"/>
      <c r="B25" s="118"/>
      <c r="C25" s="118"/>
      <c r="D25" s="118" t="s">
        <v>156</v>
      </c>
      <c r="E25" s="118" t="s">
        <v>157</v>
      </c>
      <c r="F25" s="118" t="s">
        <v>156</v>
      </c>
      <c r="G25" s="118" t="s">
        <v>157</v>
      </c>
    </row>
    <row r="26" customFormat="false" ht="15" hidden="false" customHeight="true" outlineLevel="0" collapsed="false">
      <c r="A26" s="132" t="s">
        <v>125</v>
      </c>
      <c r="B26" s="132"/>
      <c r="C26" s="132"/>
      <c r="D26" s="124" t="n">
        <f aca="false">D6*'1.3 Frota Total'!C19</f>
        <v>0</v>
      </c>
      <c r="E26" s="124" t="n">
        <f aca="false">E6*'1.3 Frota Total'!D19</f>
        <v>0</v>
      </c>
      <c r="F26" s="124" t="n">
        <f aca="false">F6*'1.3 Frota Total'!E19</f>
        <v>0</v>
      </c>
      <c r="G26" s="124" t="n">
        <f aca="false">G6*'1.3 Frota Total'!F19</f>
        <v>0</v>
      </c>
    </row>
    <row r="27" customFormat="false" ht="15" hidden="false" customHeight="false" outlineLevel="0" collapsed="false">
      <c r="A27" s="132" t="s">
        <v>129</v>
      </c>
      <c r="B27" s="132"/>
      <c r="C27" s="132"/>
      <c r="D27" s="124" t="n">
        <f aca="false">D7*'1.3 Frota Total'!C20</f>
        <v>0</v>
      </c>
      <c r="E27" s="124" t="n">
        <f aca="false">E7*'1.3 Frota Total'!D20</f>
        <v>0</v>
      </c>
      <c r="F27" s="124" t="n">
        <f aca="false">F7*'1.3 Frota Total'!E20</f>
        <v>0</v>
      </c>
      <c r="G27" s="124" t="n">
        <f aca="false">G7*'1.3 Frota Total'!F20</f>
        <v>0</v>
      </c>
    </row>
    <row r="28" customFormat="false" ht="15" hidden="false" customHeight="false" outlineLevel="0" collapsed="false">
      <c r="A28" s="132" t="s">
        <v>133</v>
      </c>
      <c r="B28" s="132"/>
      <c r="C28" s="132"/>
      <c r="D28" s="124" t="n">
        <f aca="false">D8*'1.3 Frota Total'!C21</f>
        <v>0</v>
      </c>
      <c r="E28" s="124" t="n">
        <f aca="false">E8*'1.3 Frota Total'!D21</f>
        <v>0</v>
      </c>
      <c r="F28" s="124" t="n">
        <f aca="false">F8*'1.3 Frota Total'!E21</f>
        <v>0</v>
      </c>
      <c r="G28" s="124" t="n">
        <f aca="false">G8*'1.3 Frota Total'!F21</f>
        <v>0</v>
      </c>
    </row>
    <row r="29" customFormat="false" ht="15" hidden="false" customHeight="false" outlineLevel="0" collapsed="false">
      <c r="A29" s="132" t="s">
        <v>137</v>
      </c>
      <c r="B29" s="132"/>
      <c r="C29" s="132"/>
      <c r="D29" s="124" t="n">
        <f aca="false">D9*D40</f>
        <v>7740000</v>
      </c>
      <c r="E29" s="124" t="n">
        <f aca="false">E9*'1.3 Frota Total'!D22</f>
        <v>0</v>
      </c>
      <c r="F29" s="124" t="n">
        <f aca="false">F9*F40</f>
        <v>1491520</v>
      </c>
      <c r="G29" s="124" t="n">
        <f aca="false">G9*'1.3 Frota Total'!F22</f>
        <v>0</v>
      </c>
    </row>
    <row r="30" customFormat="false" ht="15" hidden="false" customHeight="false" outlineLevel="0" collapsed="false">
      <c r="A30" s="132" t="s">
        <v>141</v>
      </c>
      <c r="B30" s="132"/>
      <c r="C30" s="132"/>
      <c r="D30" s="124" t="n">
        <f aca="false">D10*'1.3 Frota Total'!C23</f>
        <v>0</v>
      </c>
      <c r="E30" s="124" t="n">
        <f aca="false">E10*'1.3 Frota Total'!D23</f>
        <v>0</v>
      </c>
      <c r="F30" s="124" t="n">
        <f aca="false">F10*'1.3 Frota Total'!E23</f>
        <v>0</v>
      </c>
      <c r="G30" s="124" t="n">
        <f aca="false">G10*'1.3 Frota Total'!F23</f>
        <v>0</v>
      </c>
    </row>
    <row r="31" customFormat="false" ht="15" hidden="false" customHeight="false" outlineLevel="0" collapsed="false">
      <c r="A31" s="132" t="s">
        <v>143</v>
      </c>
      <c r="B31" s="132"/>
      <c r="C31" s="132"/>
      <c r="D31" s="124" t="n">
        <f aca="false">D11*'1.3 Frota Total'!C24</f>
        <v>0</v>
      </c>
      <c r="E31" s="124" t="n">
        <f aca="false">E11*'1.3 Frota Total'!D24</f>
        <v>0</v>
      </c>
      <c r="F31" s="124" t="n">
        <f aca="false">F11*'1.3 Frota Total'!E24</f>
        <v>0</v>
      </c>
      <c r="G31" s="124" t="n">
        <f aca="false">G11*'1.3 Frota Total'!F24</f>
        <v>0</v>
      </c>
    </row>
    <row r="32" customFormat="false" ht="15" hidden="false" customHeight="false" outlineLevel="0" collapsed="false">
      <c r="A32" s="132" t="s">
        <v>147</v>
      </c>
      <c r="B32" s="132"/>
      <c r="C32" s="132"/>
      <c r="D32" s="124" t="n">
        <f aca="false">D12*'1.3 Frota Total'!C25</f>
        <v>0</v>
      </c>
      <c r="E32" s="124" t="n">
        <f aca="false">E12*'1.3 Frota Total'!D25</f>
        <v>0</v>
      </c>
      <c r="F32" s="124" t="n">
        <f aca="false">F12*'1.3 Frota Total'!E25</f>
        <v>0</v>
      </c>
      <c r="G32" s="124" t="n">
        <f aca="false">G12*'1.3 Frota Total'!F25</f>
        <v>0</v>
      </c>
    </row>
    <row r="34" customFormat="false" ht="15" hidden="false" customHeight="false" outlineLevel="0" collapsed="false">
      <c r="A34" s="48" t="s">
        <v>240</v>
      </c>
      <c r="B34" s="48" t="s">
        <v>241</v>
      </c>
    </row>
    <row r="35" customFormat="false" ht="15" hidden="false" customHeight="false" outlineLevel="0" collapsed="false">
      <c r="A35" s="118" t="s">
        <v>153</v>
      </c>
      <c r="B35" s="118"/>
      <c r="C35" s="118"/>
      <c r="D35" s="118" t="s">
        <v>154</v>
      </c>
      <c r="E35" s="118"/>
      <c r="F35" s="118" t="s">
        <v>155</v>
      </c>
      <c r="G35" s="118"/>
    </row>
    <row r="36" customFormat="false" ht="15" hidden="false" customHeight="false" outlineLevel="0" collapsed="false">
      <c r="A36" s="118"/>
      <c r="B36" s="118"/>
      <c r="C36" s="118"/>
      <c r="D36" s="118" t="s">
        <v>156</v>
      </c>
      <c r="E36" s="118" t="s">
        <v>157</v>
      </c>
      <c r="F36" s="118" t="s">
        <v>156</v>
      </c>
      <c r="G36" s="118" t="s">
        <v>157</v>
      </c>
    </row>
    <row r="37" customFormat="false" ht="15" hidden="false" customHeight="true" outlineLevel="0" collapsed="false">
      <c r="A37" s="132" t="s">
        <v>125</v>
      </c>
      <c r="B37" s="132"/>
      <c r="C37" s="132"/>
      <c r="D37" s="124" t="str">
        <f aca="false">IF(D26&lt;&gt;0,'1.3 Frota Total'!C19,"")</f>
        <v/>
      </c>
      <c r="E37" s="124" t="str">
        <f aca="false">IF(E26&lt;&gt;0,'1.3 Frota Total'!D19,"")</f>
        <v/>
      </c>
      <c r="F37" s="124" t="str">
        <f aca="false">IF(F26&lt;&gt;0,'1.3 Frota Total'!E19,"")</f>
        <v/>
      </c>
      <c r="G37" s="124" t="str">
        <f aca="false">IF(G26&lt;&gt;0,'1.3 Frota Total'!F19,"")</f>
        <v/>
      </c>
    </row>
    <row r="38" customFormat="false" ht="15" hidden="false" customHeight="false" outlineLevel="0" collapsed="false">
      <c r="A38" s="132" t="s">
        <v>129</v>
      </c>
      <c r="B38" s="132"/>
      <c r="C38" s="132"/>
      <c r="D38" s="124" t="str">
        <f aca="false">IF(D27&lt;&gt;0,'1.3 Frota Total'!C20,"")</f>
        <v/>
      </c>
      <c r="E38" s="124" t="str">
        <f aca="false">IF(E27&lt;&gt;0,'1.3 Frota Total'!D20,"")</f>
        <v/>
      </c>
      <c r="F38" s="124" t="str">
        <f aca="false">IF(F27&lt;&gt;0,'1.3 Frota Total'!E20,"")</f>
        <v/>
      </c>
      <c r="G38" s="124" t="str">
        <f aca="false">IF(G27&lt;&gt;0,'1.3 Frota Total'!F20,"")</f>
        <v/>
      </c>
    </row>
    <row r="39" customFormat="false" ht="15" hidden="false" customHeight="false" outlineLevel="0" collapsed="false">
      <c r="A39" s="132" t="s">
        <v>133</v>
      </c>
      <c r="B39" s="132"/>
      <c r="C39" s="132"/>
      <c r="D39" s="124" t="str">
        <f aca="false">IF(D28&lt;&gt;0,'1.3 Frota Total'!C21,"")</f>
        <v/>
      </c>
      <c r="E39" s="124" t="str">
        <f aca="false">IF(E28&lt;&gt;0,'1.3 Frota Total'!D21,"")</f>
        <v/>
      </c>
      <c r="F39" s="124" t="str">
        <f aca="false">IF(F28&lt;&gt;0,'1.3 Frota Total'!E21,"")</f>
        <v/>
      </c>
      <c r="G39" s="124" t="str">
        <f aca="false">IF(G28&lt;&gt;0,'1.3 Frota Total'!F21,"")</f>
        <v/>
      </c>
    </row>
    <row r="40" customFormat="false" ht="15" hidden="false" customHeight="false" outlineLevel="0" collapsed="false">
      <c r="A40" s="132" t="s">
        <v>137</v>
      </c>
      <c r="B40" s="132"/>
      <c r="C40" s="132"/>
      <c r="D40" s="124" t="n">
        <v>12</v>
      </c>
      <c r="E40" s="124" t="str">
        <f aca="false">IF(E29&lt;&gt;0,'1.3 Frota Total'!D22,"")</f>
        <v/>
      </c>
      <c r="F40" s="124" t="n">
        <v>2</v>
      </c>
      <c r="G40" s="124" t="str">
        <f aca="false">IF(G29&lt;&gt;0,'1.3 Frota Total'!F22,"")</f>
        <v/>
      </c>
    </row>
    <row r="41" customFormat="false" ht="15" hidden="false" customHeight="false" outlineLevel="0" collapsed="false">
      <c r="A41" s="132" t="s">
        <v>141</v>
      </c>
      <c r="B41" s="132"/>
      <c r="C41" s="132"/>
      <c r="D41" s="124" t="str">
        <f aca="false">IF(D30&lt;&gt;0,'1.3 Frota Total'!C23,"")</f>
        <v/>
      </c>
      <c r="E41" s="124" t="str">
        <f aca="false">IF(E30&lt;&gt;0,'1.3 Frota Total'!D23,"")</f>
        <v/>
      </c>
      <c r="F41" s="124" t="str">
        <f aca="false">IF(F30&lt;&gt;0,'1.3 Frota Total'!E23,"")</f>
        <v/>
      </c>
      <c r="G41" s="124" t="str">
        <f aca="false">IF(G30&lt;&gt;0,'1.3 Frota Total'!F23,"")</f>
        <v/>
      </c>
    </row>
    <row r="42" customFormat="false" ht="15" hidden="false" customHeight="false" outlineLevel="0" collapsed="false">
      <c r="A42" s="132" t="s">
        <v>143</v>
      </c>
      <c r="B42" s="132"/>
      <c r="C42" s="132"/>
      <c r="D42" s="124" t="str">
        <f aca="false">IF(D31&lt;&gt;0,'1.3 Frota Total'!C24,"")</f>
        <v/>
      </c>
      <c r="E42" s="124" t="str">
        <f aca="false">IF(E31&lt;&gt;0,'1.3 Frota Total'!D24,"")</f>
        <v/>
      </c>
      <c r="F42" s="124" t="str">
        <f aca="false">IF(F31&lt;&gt;0,'1.3 Frota Total'!E24,"")</f>
        <v/>
      </c>
      <c r="G42" s="124" t="str">
        <f aca="false">IF(G31&lt;&gt;0,'1.3 Frota Total'!F24,"")</f>
        <v/>
      </c>
    </row>
    <row r="43" customFormat="false" ht="15" hidden="false" customHeight="false" outlineLevel="0" collapsed="false">
      <c r="A43" s="132" t="s">
        <v>147</v>
      </c>
      <c r="B43" s="132"/>
      <c r="C43" s="132"/>
      <c r="D43" s="124" t="str">
        <f aca="false">IF(D32&lt;&gt;0,'1.3 Frota Total'!C25,"")</f>
        <v/>
      </c>
      <c r="E43" s="124" t="str">
        <f aca="false">IF(E32&lt;&gt;0,'1.3 Frota Total'!D25,"")</f>
        <v/>
      </c>
      <c r="F43" s="124" t="str">
        <f aca="false">IF(F32&lt;&gt;0,'1.3 Frota Total'!E25,"")</f>
        <v/>
      </c>
      <c r="G43" s="124" t="str">
        <f aca="false">IF(G32&lt;&gt;0,'1.3 Frota Total'!F25,"")</f>
        <v/>
      </c>
    </row>
    <row r="44" customFormat="false" ht="12.75" hidden="false" customHeight="false" outlineLevel="0" collapsed="false"/>
    <row r="45" customFormat="false" ht="15" hidden="false" customHeight="false" outlineLevel="0" collapsed="false">
      <c r="A45" s="48" t="s">
        <v>242</v>
      </c>
      <c r="B45" s="48" t="s">
        <v>243</v>
      </c>
    </row>
    <row r="46" customFormat="false" ht="15" hidden="false" customHeight="false" outlineLevel="0" collapsed="false">
      <c r="A46" s="118" t="s">
        <v>153</v>
      </c>
      <c r="B46" s="118"/>
      <c r="C46" s="118"/>
      <c r="D46" s="118" t="s">
        <v>154</v>
      </c>
      <c r="E46" s="118"/>
      <c r="F46" s="118" t="s">
        <v>155</v>
      </c>
      <c r="G46" s="118"/>
    </row>
    <row r="47" customFormat="false" ht="15" hidden="false" customHeight="false" outlineLevel="0" collapsed="false">
      <c r="A47" s="118"/>
      <c r="B47" s="118"/>
      <c r="C47" s="118"/>
      <c r="D47" s="118" t="s">
        <v>156</v>
      </c>
      <c r="E47" s="118" t="s">
        <v>157</v>
      </c>
      <c r="F47" s="118" t="s">
        <v>156</v>
      </c>
      <c r="G47" s="118" t="s">
        <v>157</v>
      </c>
    </row>
    <row r="48" customFormat="false" ht="15" hidden="false" customHeight="true" outlineLevel="0" collapsed="false">
      <c r="A48" s="132" t="s">
        <v>125</v>
      </c>
      <c r="B48" s="132"/>
      <c r="C48" s="132"/>
      <c r="D48" s="133" t="str">
        <f aca="false">IF(D6&gt;0,D6-('A.VI. Rodagem'!$D43),"")</f>
        <v/>
      </c>
      <c r="E48" s="133" t="str">
        <f aca="false">IF(E6&gt;0,E6-('A.VI. Rodagem'!$D43),"")</f>
        <v/>
      </c>
      <c r="F48" s="133" t="str">
        <f aca="false">IF(F6&gt;0,F6-('A.VI. Rodagem'!$D43),"")</f>
        <v/>
      </c>
      <c r="G48" s="133" t="str">
        <f aca="false">IF(G6&gt;0,G6-('A.VI. Rodagem'!$D43),"")</f>
        <v/>
      </c>
    </row>
    <row r="49" customFormat="false" ht="15" hidden="false" customHeight="false" outlineLevel="0" collapsed="false">
      <c r="A49" s="132" t="s">
        <v>129</v>
      </c>
      <c r="B49" s="132"/>
      <c r="C49" s="132"/>
      <c r="D49" s="133" t="str">
        <f aca="false">IF(D7&gt;0,D7-('A.VI. Rodagem'!$D44),"")</f>
        <v/>
      </c>
      <c r="E49" s="133" t="str">
        <f aca="false">IF(E7&gt;0,E7-('A.VI. Rodagem'!$D44),"")</f>
        <v/>
      </c>
      <c r="F49" s="133" t="str">
        <f aca="false">IF(F7&gt;0,F7-('A.VI. Rodagem'!$D44),"")</f>
        <v/>
      </c>
      <c r="G49" s="133" t="str">
        <f aca="false">IF(G7&gt;0,G7-('A.VI. Rodagem'!$D44),"")</f>
        <v/>
      </c>
    </row>
    <row r="50" customFormat="false" ht="15" hidden="false" customHeight="false" outlineLevel="0" collapsed="false">
      <c r="A50" s="132" t="s">
        <v>133</v>
      </c>
      <c r="B50" s="132"/>
      <c r="C50" s="132"/>
      <c r="D50" s="133" t="str">
        <f aca="false">IF(D8&gt;0,D8-('A.VI. Rodagem'!$D45),"")</f>
        <v/>
      </c>
      <c r="E50" s="133" t="str">
        <f aca="false">IF(E8&gt;0,E8-('A.VI. Rodagem'!$D45),"")</f>
        <v/>
      </c>
      <c r="F50" s="133" t="str">
        <f aca="false">IF(F8&gt;0,F8-('A.VI. Rodagem'!$D45),"")</f>
        <v/>
      </c>
      <c r="G50" s="133" t="str">
        <f aca="false">IF(G8&gt;0,G8-('A.VI. Rodagem'!$D45),"")</f>
        <v/>
      </c>
    </row>
    <row r="51" customFormat="false" ht="15" hidden="false" customHeight="false" outlineLevel="0" collapsed="false">
      <c r="A51" s="132" t="s">
        <v>137</v>
      </c>
      <c r="B51" s="132"/>
      <c r="C51" s="132"/>
      <c r="D51" s="133" t="n">
        <f aca="false">IF(D9&gt;0,D9-('A.VI. Rodagem'!$D46),"")</f>
        <v>630720</v>
      </c>
      <c r="E51" s="133" t="str">
        <f aca="false">IF(E9&gt;0,E9-('A.VI. Rodagem'!$D46),"")</f>
        <v/>
      </c>
      <c r="F51" s="133" t="n">
        <f aca="false">IF(F9&gt;0,F9-('A.VI. Rodagem'!$D46),"")</f>
        <v>731480</v>
      </c>
      <c r="G51" s="133" t="str">
        <f aca="false">IF(G9&gt;0,G9-('A.VI. Rodagem'!$D46),"")</f>
        <v/>
      </c>
    </row>
    <row r="52" customFormat="false" ht="15" hidden="false" customHeight="false" outlineLevel="0" collapsed="false">
      <c r="A52" s="132" t="s">
        <v>141</v>
      </c>
      <c r="B52" s="132"/>
      <c r="C52" s="132"/>
      <c r="D52" s="133" t="str">
        <f aca="false">IF(D10&gt;0,D10-('A.VI. Rodagem'!$D47),"")</f>
        <v/>
      </c>
      <c r="E52" s="133" t="str">
        <f aca="false">IF(E10&gt;0,E10-('A.VI. Rodagem'!$D47),"")</f>
        <v/>
      </c>
      <c r="F52" s="133" t="str">
        <f aca="false">IF(F10&gt;0,F10-('A.VI. Rodagem'!$D47),"")</f>
        <v/>
      </c>
      <c r="G52" s="133" t="str">
        <f aca="false">IF(G10&gt;0,G10-('A.VI. Rodagem'!$D47),"")</f>
        <v/>
      </c>
    </row>
    <row r="53" customFormat="false" ht="15" hidden="false" customHeight="false" outlineLevel="0" collapsed="false">
      <c r="A53" s="132" t="s">
        <v>143</v>
      </c>
      <c r="B53" s="132"/>
      <c r="C53" s="132"/>
      <c r="D53" s="133" t="str">
        <f aca="false">IF(D11&gt;0,D11-('A.VI. Rodagem'!$D48),"")</f>
        <v/>
      </c>
      <c r="E53" s="133" t="str">
        <f aca="false">IF(E11&gt;0,E11-('A.VI. Rodagem'!$D48),"")</f>
        <v/>
      </c>
      <c r="F53" s="133" t="str">
        <f aca="false">IF(F11&gt;0,F11-('A.VI. Rodagem'!$D48),"")</f>
        <v/>
      </c>
      <c r="G53" s="133" t="str">
        <f aca="false">IF(G11&gt;0,G11-('A.VI. Rodagem'!$D48),"")</f>
        <v/>
      </c>
    </row>
    <row r="54" customFormat="false" ht="15" hidden="false" customHeight="false" outlineLevel="0" collapsed="false">
      <c r="A54" s="132" t="s">
        <v>147</v>
      </c>
      <c r="B54" s="132"/>
      <c r="C54" s="132"/>
      <c r="D54" s="133" t="str">
        <f aca="false">IF(D12&gt;0,D12-('A.VI. Rodagem'!$D49),"")</f>
        <v/>
      </c>
      <c r="E54" s="133" t="str">
        <f aca="false">IF(E12&gt;0,E12-('A.VI. Rodagem'!$D49),"")</f>
        <v/>
      </c>
      <c r="F54" s="133" t="str">
        <f aca="false">IF(F12&gt;0,F12-('A.VI. Rodagem'!$D49),"")</f>
        <v/>
      </c>
      <c r="G54" s="133" t="str">
        <f aca="false">IF(G12&gt;0,G12-('A.VI. Rodagem'!$D49),"")</f>
        <v/>
      </c>
    </row>
    <row r="55" customFormat="false" ht="15" hidden="false" customHeight="false" outlineLevel="0" collapsed="false">
      <c r="A55" s="48"/>
      <c r="B55" s="48"/>
    </row>
    <row r="57" customFormat="false" ht="21" hidden="false" customHeight="false" outlineLevel="0" collapsed="false">
      <c r="A57" s="134" t="s">
        <v>244</v>
      </c>
      <c r="B57" s="134"/>
      <c r="C57" s="134"/>
      <c r="D57" s="135" t="n">
        <f aca="false">SUM(D26:G32)/SUM(D37:G43)</f>
        <v>659394.285714286</v>
      </c>
    </row>
    <row r="58" customFormat="false" ht="21" hidden="false" customHeight="false" outlineLevel="0" collapsed="false">
      <c r="A58" s="134" t="s">
        <v>245</v>
      </c>
      <c r="B58" s="134"/>
      <c r="C58" s="134"/>
      <c r="D58" s="135" t="n">
        <f aca="false">D57</f>
        <v>659394.285714286</v>
      </c>
    </row>
  </sheetData>
  <mergeCells count="49">
    <mergeCell ref="A4:C5"/>
    <mergeCell ref="D4:E4"/>
    <mergeCell ref="F4:G4"/>
    <mergeCell ref="A6:C6"/>
    <mergeCell ref="A7:C7"/>
    <mergeCell ref="A8:C8"/>
    <mergeCell ref="A9:C9"/>
    <mergeCell ref="A10:C10"/>
    <mergeCell ref="A11:C11"/>
    <mergeCell ref="A12:C12"/>
    <mergeCell ref="A15:C16"/>
    <mergeCell ref="D15:D16"/>
    <mergeCell ref="A17:C17"/>
    <mergeCell ref="A18:C18"/>
    <mergeCell ref="A19:C19"/>
    <mergeCell ref="A20:C20"/>
    <mergeCell ref="A21:C21"/>
    <mergeCell ref="A24:C25"/>
    <mergeCell ref="D24:E24"/>
    <mergeCell ref="F24:G24"/>
    <mergeCell ref="A26:C26"/>
    <mergeCell ref="A27:C27"/>
    <mergeCell ref="A28:C28"/>
    <mergeCell ref="A29:C29"/>
    <mergeCell ref="A30:C30"/>
    <mergeCell ref="A31:C31"/>
    <mergeCell ref="A32:C32"/>
    <mergeCell ref="A35:C36"/>
    <mergeCell ref="D35:E35"/>
    <mergeCell ref="F35:G35"/>
    <mergeCell ref="A37:C37"/>
    <mergeCell ref="A38:C38"/>
    <mergeCell ref="A39:C39"/>
    <mergeCell ref="A40:C40"/>
    <mergeCell ref="A41:C41"/>
    <mergeCell ref="A42:C42"/>
    <mergeCell ref="A43:C43"/>
    <mergeCell ref="A46:C47"/>
    <mergeCell ref="D46:E46"/>
    <mergeCell ref="F46:G46"/>
    <mergeCell ref="A48:C48"/>
    <mergeCell ref="A49:C49"/>
    <mergeCell ref="A50:C50"/>
    <mergeCell ref="A51:C51"/>
    <mergeCell ref="A52:C52"/>
    <mergeCell ref="A53:C53"/>
    <mergeCell ref="A54:C54"/>
    <mergeCell ref="A57:C57"/>
    <mergeCell ref="A58:C58"/>
  </mergeCells>
  <printOptions headings="false" gridLines="false" gridLinesSet="true" horizontalCentered="false" verticalCentered="false"/>
  <pageMargins left="0.7875" right="0.7875"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5B5"/>
    <pageSetUpPr fitToPage="true"/>
  </sheetPr>
  <dimension ref="A1:O105"/>
  <sheetViews>
    <sheetView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D44" activeCellId="0" sqref="D44"/>
    </sheetView>
  </sheetViews>
  <sheetFormatPr defaultColWidth="8.6875" defaultRowHeight="12.75" zeroHeight="false" outlineLevelRow="0" outlineLevelCol="0"/>
  <cols>
    <col collapsed="false" customWidth="true" hidden="false" outlineLevel="0" max="1" min="1" style="136" width="4.71"/>
    <col collapsed="false" customWidth="true" hidden="false" outlineLevel="0" max="2" min="2" style="137" width="5.14"/>
    <col collapsed="false" customWidth="true" hidden="false" outlineLevel="0" max="3" min="3" style="137" width="6.28"/>
    <col collapsed="false" customWidth="true" hidden="false" outlineLevel="0" max="4" min="4" style="137" width="19"/>
    <col collapsed="false" customWidth="true" hidden="false" outlineLevel="0" max="5" min="5" style="137" width="30.01"/>
    <col collapsed="false" customWidth="true" hidden="false" outlineLevel="0" max="6" min="6" style="0" width="14.28"/>
    <col collapsed="false" customWidth="true" hidden="false" outlineLevel="0" max="7" min="7" style="138" width="1.85"/>
    <col collapsed="false" customWidth="true" hidden="false" outlineLevel="0" max="8" min="8" style="137" width="9.14"/>
    <col collapsed="false" customWidth="true" hidden="false" outlineLevel="0" max="9" min="9" style="138" width="1.71"/>
    <col collapsed="false" customWidth="true" hidden="false" outlineLevel="0" max="10" min="10" style="139" width="36.14"/>
    <col collapsed="false" customWidth="true" hidden="false" outlineLevel="0" max="11" min="11" style="0" width="9.14"/>
    <col collapsed="false" customWidth="true" hidden="false" outlineLevel="0" max="12" min="12" style="0" width="1.29"/>
    <col collapsed="false" customWidth="true" hidden="false" outlineLevel="0" max="13" min="13" style="0" width="9.14"/>
    <col collapsed="false" customWidth="true" hidden="false" outlineLevel="0" max="14" min="14" style="0" width="38.7"/>
    <col collapsed="false" customWidth="true" hidden="false" outlineLevel="0" max="15" min="15" style="0" width="1"/>
  </cols>
  <sheetData>
    <row r="1" customFormat="false" ht="12.75" hidden="false" customHeight="false" outlineLevel="0" collapsed="false">
      <c r="A1" s="136" t="s">
        <v>246</v>
      </c>
      <c r="F1" s="137"/>
    </row>
    <row r="2" customFormat="false" ht="12.75" hidden="false" customHeight="false" outlineLevel="0" collapsed="false">
      <c r="F2" s="137"/>
      <c r="K2" s="140"/>
    </row>
    <row r="3" customFormat="false" ht="31.5" hidden="false" customHeight="true" outlineLevel="0" collapsed="false">
      <c r="A3" s="141"/>
      <c r="B3" s="142" t="s">
        <v>247</v>
      </c>
      <c r="C3" s="142"/>
      <c r="D3" s="142"/>
      <c r="E3" s="142"/>
      <c r="F3" s="142"/>
      <c r="G3" s="142"/>
      <c r="H3" s="142"/>
      <c r="I3" s="142"/>
      <c r="J3" s="142"/>
    </row>
    <row r="4" customFormat="false" ht="24" hidden="false" customHeight="true" outlineLevel="0" collapsed="false">
      <c r="B4" s="122" t="s">
        <v>248</v>
      </c>
    </row>
    <row r="5" s="138" customFormat="true" ht="12.75" hidden="false" customHeight="false" outlineLevel="0" collapsed="false">
      <c r="A5" s="136"/>
      <c r="B5" s="137"/>
      <c r="C5" s="137"/>
      <c r="D5" s="137"/>
      <c r="E5" s="137"/>
      <c r="H5" s="137"/>
    </row>
    <row r="6" s="138" customFormat="true" ht="12.75" hidden="false" customHeight="false" outlineLevel="0" collapsed="false">
      <c r="A6" s="136"/>
      <c r="B6" s="137"/>
      <c r="C6" s="137"/>
      <c r="D6" s="137"/>
      <c r="E6" s="137"/>
      <c r="H6" s="137"/>
      <c r="J6" s="143"/>
    </row>
    <row r="7" s="138" customFormat="true" ht="12.75" hidden="false" customHeight="false" outlineLevel="0" collapsed="false">
      <c r="A7" s="136"/>
      <c r="B7" s="137"/>
      <c r="C7" s="137"/>
      <c r="D7" s="137"/>
      <c r="E7" s="137"/>
      <c r="H7" s="137"/>
      <c r="J7" s="143" t="s">
        <v>249</v>
      </c>
    </row>
    <row r="8" s="138" customFormat="true" ht="12.75" hidden="false" customHeight="false" outlineLevel="0" collapsed="false">
      <c r="A8" s="136" t="s">
        <v>250</v>
      </c>
      <c r="B8" s="144" t="s">
        <v>251</v>
      </c>
      <c r="C8" s="144"/>
      <c r="D8" s="144"/>
      <c r="E8" s="145"/>
      <c r="H8" s="137"/>
      <c r="J8" s="139"/>
    </row>
    <row r="9" customFormat="false" ht="15.75" hidden="false" customHeight="false" outlineLevel="0" collapsed="false">
      <c r="C9" s="146" t="s">
        <v>252</v>
      </c>
      <c r="D9" s="147" t="s">
        <v>253</v>
      </c>
      <c r="E9" s="147"/>
      <c r="F9" s="108" t="n">
        <f aca="false">(5.05+5.15)/2</f>
        <v>5.1</v>
      </c>
      <c r="G9" s="148"/>
      <c r="H9" s="149" t="s">
        <v>254</v>
      </c>
      <c r="J9" s="150" t="s">
        <v>255</v>
      </c>
    </row>
    <row r="10" customFormat="false" ht="15.75" hidden="false" customHeight="false" outlineLevel="0" collapsed="false">
      <c r="F10" s="138" t="s">
        <v>246</v>
      </c>
      <c r="J10" s="150"/>
      <c r="L10" s="15" t="s">
        <v>16</v>
      </c>
      <c r="M10" s="15"/>
      <c r="N10" s="15"/>
      <c r="O10" s="15"/>
    </row>
    <row r="11" customFormat="false" ht="15.75" hidden="false" customHeight="false" outlineLevel="0" collapsed="false">
      <c r="A11" s="136" t="s">
        <v>256</v>
      </c>
      <c r="B11" s="144" t="s">
        <v>257</v>
      </c>
      <c r="C11" s="144"/>
      <c r="D11" s="144"/>
      <c r="E11" s="145"/>
      <c r="F11" s="138"/>
      <c r="J11" s="150"/>
      <c r="L11" s="17"/>
      <c r="M11" s="18"/>
      <c r="N11" s="18"/>
      <c r="O11" s="19"/>
    </row>
    <row r="12" customFormat="false" ht="26.25" hidden="false" customHeight="true" outlineLevel="0" collapsed="false">
      <c r="C12" s="151" t="s">
        <v>258</v>
      </c>
      <c r="D12" s="152" t="s">
        <v>259</v>
      </c>
      <c r="E12" s="152"/>
      <c r="F12" s="153" t="n">
        <v>0.0265</v>
      </c>
      <c r="G12" s="154"/>
      <c r="H12" s="155" t="s">
        <v>260</v>
      </c>
      <c r="J12" s="156" t="s">
        <v>261</v>
      </c>
      <c r="L12" s="20"/>
      <c r="M12" s="21"/>
      <c r="N12" s="22" t="s">
        <v>18</v>
      </c>
      <c r="O12" s="23"/>
    </row>
    <row r="13" customFormat="false" ht="15" hidden="false" customHeight="false" outlineLevel="0" collapsed="false">
      <c r="F13" s="138"/>
      <c r="J13" s="157"/>
      <c r="L13" s="20"/>
      <c r="M13" s="27"/>
      <c r="N13" s="22" t="s">
        <v>20</v>
      </c>
      <c r="O13" s="23"/>
    </row>
    <row r="14" customFormat="false" ht="15" hidden="false" customHeight="false" outlineLevel="0" collapsed="false">
      <c r="A14" s="136" t="s">
        <v>262</v>
      </c>
      <c r="B14" s="137" t="s">
        <v>263</v>
      </c>
      <c r="F14" s="138"/>
      <c r="H14" s="138"/>
      <c r="J14" s="157"/>
      <c r="L14" s="20"/>
      <c r="M14" s="28"/>
      <c r="N14" s="22" t="s">
        <v>22</v>
      </c>
      <c r="O14" s="23"/>
    </row>
    <row r="15" customFormat="false" ht="15.75" hidden="false" customHeight="false" outlineLevel="0" collapsed="false">
      <c r="C15" s="146" t="s">
        <v>264</v>
      </c>
      <c r="D15" s="147" t="s">
        <v>265</v>
      </c>
      <c r="E15" s="147"/>
      <c r="F15" s="158" t="n">
        <v>0</v>
      </c>
      <c r="G15" s="148"/>
      <c r="H15" s="149" t="s">
        <v>254</v>
      </c>
      <c r="J15" s="150" t="s">
        <v>255</v>
      </c>
      <c r="L15" s="29"/>
      <c r="M15" s="30"/>
      <c r="N15" s="30"/>
      <c r="O15" s="31"/>
    </row>
    <row r="16" customFormat="false" ht="30" hidden="false" customHeight="true" outlineLevel="0" collapsed="false">
      <c r="C16" s="151" t="s">
        <v>266</v>
      </c>
      <c r="D16" s="152" t="s">
        <v>267</v>
      </c>
      <c r="E16" s="152"/>
      <c r="F16" s="159"/>
      <c r="G16" s="154"/>
      <c r="H16" s="155" t="s">
        <v>268</v>
      </c>
      <c r="J16" s="160" t="s">
        <v>269</v>
      </c>
    </row>
    <row r="17" customFormat="false" ht="12.75" hidden="false" customHeight="false" outlineLevel="0" collapsed="false">
      <c r="F17" s="138"/>
      <c r="J17" s="157"/>
    </row>
    <row r="18" customFormat="false" ht="12.75" hidden="false" customHeight="false" outlineLevel="0" collapsed="false">
      <c r="A18" s="136" t="s">
        <v>270</v>
      </c>
      <c r="B18" s="137" t="s">
        <v>271</v>
      </c>
      <c r="D18" s="114" t="s">
        <v>272</v>
      </c>
      <c r="F18" s="138"/>
      <c r="H18" s="138"/>
      <c r="J18" s="157"/>
    </row>
    <row r="19" customFormat="false" ht="15" hidden="false" customHeight="false" outlineLevel="0" collapsed="false">
      <c r="C19" s="161" t="s">
        <v>273</v>
      </c>
      <c r="D19" s="162" t="s">
        <v>274</v>
      </c>
      <c r="E19" s="137" t="s">
        <v>275</v>
      </c>
      <c r="F19" s="163" t="n">
        <v>0</v>
      </c>
      <c r="G19" s="148"/>
      <c r="H19" s="149" t="s">
        <v>276</v>
      </c>
      <c r="J19" s="150" t="s">
        <v>255</v>
      </c>
    </row>
    <row r="20" customFormat="false" ht="15" hidden="false" customHeight="false" outlineLevel="0" collapsed="false">
      <c r="C20" s="161"/>
      <c r="D20" s="162"/>
      <c r="E20" s="137" t="s">
        <v>277</v>
      </c>
      <c r="F20" s="163" t="n">
        <v>2380</v>
      </c>
      <c r="G20" s="148"/>
      <c r="H20" s="149" t="s">
        <v>276</v>
      </c>
      <c r="J20" s="150" t="s">
        <v>255</v>
      </c>
    </row>
    <row r="21" customFormat="false" ht="15" hidden="false" customHeight="false" outlineLevel="0" collapsed="false">
      <c r="C21" s="161"/>
      <c r="D21" s="162"/>
      <c r="E21" s="137" t="s">
        <v>278</v>
      </c>
      <c r="F21" s="163" t="n">
        <v>0</v>
      </c>
      <c r="G21" s="148"/>
      <c r="H21" s="149" t="s">
        <v>276</v>
      </c>
      <c r="J21" s="150" t="s">
        <v>255</v>
      </c>
    </row>
    <row r="22" customFormat="false" ht="15" hidden="false" customHeight="false" outlineLevel="0" collapsed="false">
      <c r="C22" s="161" t="s">
        <v>279</v>
      </c>
      <c r="D22" s="164" t="s">
        <v>280</v>
      </c>
      <c r="E22" s="137" t="s">
        <v>275</v>
      </c>
      <c r="F22" s="163" t="n">
        <v>0</v>
      </c>
      <c r="G22" s="148"/>
      <c r="H22" s="149" t="s">
        <v>276</v>
      </c>
      <c r="J22" s="150" t="s">
        <v>255</v>
      </c>
    </row>
    <row r="23" customFormat="false" ht="15" hidden="false" customHeight="false" outlineLevel="0" collapsed="false">
      <c r="C23" s="161"/>
      <c r="D23" s="164"/>
      <c r="E23" s="137" t="s">
        <v>277</v>
      </c>
      <c r="F23" s="163" t="n">
        <v>615</v>
      </c>
      <c r="G23" s="148"/>
      <c r="H23" s="149" t="s">
        <v>276</v>
      </c>
      <c r="J23" s="150" t="s">
        <v>255</v>
      </c>
    </row>
    <row r="24" customFormat="false" ht="15" hidden="false" customHeight="false" outlineLevel="0" collapsed="false">
      <c r="C24" s="161"/>
      <c r="D24" s="164"/>
      <c r="E24" s="137" t="s">
        <v>278</v>
      </c>
      <c r="F24" s="163" t="n">
        <v>0</v>
      </c>
      <c r="G24" s="148"/>
      <c r="H24" s="149" t="s">
        <v>276</v>
      </c>
      <c r="J24" s="150" t="s">
        <v>255</v>
      </c>
    </row>
    <row r="25" customFormat="false" ht="12.75" hidden="false" customHeight="false" outlineLevel="0" collapsed="false">
      <c r="F25" s="138"/>
      <c r="H25" s="138"/>
      <c r="J25" s="157"/>
    </row>
    <row r="26" customFormat="false" ht="12.75" hidden="false" customHeight="false" outlineLevel="0" collapsed="false">
      <c r="F26" s="138"/>
      <c r="H26" s="138"/>
      <c r="J26" s="157"/>
    </row>
    <row r="27" customFormat="false" ht="13.5" hidden="false" customHeight="false" outlineLevel="0" collapsed="false">
      <c r="A27" s="136" t="s">
        <v>281</v>
      </c>
      <c r="B27" s="137" t="s">
        <v>282</v>
      </c>
      <c r="F27" s="138"/>
      <c r="H27" s="138"/>
      <c r="J27" s="157"/>
    </row>
    <row r="28" customFormat="false" ht="25.5" hidden="false" customHeight="true" outlineLevel="0" collapsed="false">
      <c r="C28" s="151" t="s">
        <v>283</v>
      </c>
      <c r="D28" s="152" t="s">
        <v>284</v>
      </c>
      <c r="E28" s="152"/>
      <c r="F28" s="165" t="n">
        <v>0.0014</v>
      </c>
      <c r="G28" s="154"/>
      <c r="H28" s="155" t="s">
        <v>268</v>
      </c>
      <c r="J28" s="156" t="s">
        <v>285</v>
      </c>
    </row>
    <row r="29" customFormat="false" ht="12.75" hidden="false" customHeight="false" outlineLevel="0" collapsed="false">
      <c r="F29" s="138"/>
      <c r="H29" s="138"/>
      <c r="J29" s="150"/>
    </row>
    <row r="30" customFormat="false" ht="12.75" hidden="false" customHeight="false" outlineLevel="0" collapsed="false">
      <c r="A30" s="136" t="s">
        <v>286</v>
      </c>
      <c r="B30" s="137" t="s">
        <v>287</v>
      </c>
      <c r="F30" s="138"/>
      <c r="H30" s="138"/>
      <c r="J30" s="150"/>
    </row>
    <row r="31" customFormat="false" ht="15" hidden="false" customHeight="false" outlineLevel="0" collapsed="false">
      <c r="C31" s="146" t="s">
        <v>288</v>
      </c>
      <c r="D31" s="147" t="s">
        <v>289</v>
      </c>
      <c r="E31" s="147"/>
      <c r="F31" s="166" t="n">
        <f aca="false">'2.1.b Veículos'!D58</f>
        <v>659394.285714286</v>
      </c>
      <c r="G31" s="148"/>
      <c r="H31" s="149" t="s">
        <v>290</v>
      </c>
      <c r="J31" s="160" t="s">
        <v>291</v>
      </c>
    </row>
    <row r="32" customFormat="false" ht="12.75" hidden="false" customHeight="false" outlineLevel="0" collapsed="false">
      <c r="F32" s="138"/>
      <c r="H32" s="138"/>
      <c r="J32" s="160"/>
    </row>
    <row r="33" customFormat="false" ht="12.75" hidden="false" customHeight="false" outlineLevel="0" collapsed="false">
      <c r="A33" s="136" t="s">
        <v>292</v>
      </c>
      <c r="B33" s="137" t="s">
        <v>293</v>
      </c>
      <c r="F33" s="138"/>
      <c r="H33" s="138"/>
    </row>
    <row r="34" customFormat="false" ht="15" hidden="false" customHeight="false" outlineLevel="0" collapsed="false">
      <c r="C34" s="146" t="s">
        <v>294</v>
      </c>
      <c r="D34" s="147" t="s">
        <v>295</v>
      </c>
      <c r="E34" s="147"/>
      <c r="F34" s="163" t="n">
        <f aca="false">2580.79+2580.79*5%</f>
        <v>2709.8295</v>
      </c>
      <c r="H34" s="149" t="s">
        <v>179</v>
      </c>
      <c r="J34" s="150" t="s">
        <v>296</v>
      </c>
    </row>
    <row r="35" customFormat="false" ht="15" hidden="false" customHeight="false" outlineLevel="0" collapsed="false">
      <c r="C35" s="146" t="s">
        <v>297</v>
      </c>
      <c r="D35" s="147" t="s">
        <v>298</v>
      </c>
      <c r="E35" s="147"/>
      <c r="F35" s="163" t="n">
        <v>1872.1</v>
      </c>
      <c r="H35" s="149" t="s">
        <v>179</v>
      </c>
      <c r="J35" s="150" t="s">
        <v>296</v>
      </c>
    </row>
    <row r="36" customFormat="false" ht="15" hidden="false" customHeight="false" outlineLevel="0" collapsed="false">
      <c r="C36" s="146" t="s">
        <v>299</v>
      </c>
      <c r="D36" s="147" t="s">
        <v>300</v>
      </c>
      <c r="E36" s="147"/>
      <c r="F36" s="163" t="n">
        <f aca="false">2861.76+2861.76*5%</f>
        <v>3004.848</v>
      </c>
      <c r="H36" s="149" t="s">
        <v>179</v>
      </c>
      <c r="J36" s="150" t="s">
        <v>296</v>
      </c>
    </row>
    <row r="37" customFormat="false" ht="15" hidden="false" customHeight="false" outlineLevel="0" collapsed="false">
      <c r="C37" s="146" t="s">
        <v>301</v>
      </c>
      <c r="D37" s="147" t="s">
        <v>302</v>
      </c>
      <c r="E37" s="147"/>
      <c r="F37" s="163" t="n">
        <f aca="false">3328.86+3328.86*5%</f>
        <v>3495.303</v>
      </c>
      <c r="H37" s="149" t="s">
        <v>179</v>
      </c>
      <c r="J37" s="150"/>
    </row>
    <row r="38" customFormat="false" ht="15" hidden="false" customHeight="false" outlineLevel="0" collapsed="false">
      <c r="C38" s="146" t="s">
        <v>303</v>
      </c>
      <c r="D38" s="147" t="s">
        <v>304</v>
      </c>
      <c r="E38" s="147"/>
      <c r="F38" s="163" t="n">
        <v>450</v>
      </c>
      <c r="H38" s="149" t="s">
        <v>179</v>
      </c>
      <c r="J38" s="150" t="s">
        <v>296</v>
      </c>
    </row>
    <row r="39" customFormat="false" ht="15" hidden="false" customHeight="false" outlineLevel="0" collapsed="false">
      <c r="C39" s="146" t="s">
        <v>305</v>
      </c>
      <c r="D39" s="147" t="s">
        <v>306</v>
      </c>
      <c r="E39" s="147"/>
      <c r="F39" s="163" t="n">
        <v>450</v>
      </c>
      <c r="H39" s="149" t="s">
        <v>179</v>
      </c>
      <c r="J39" s="150" t="s">
        <v>296</v>
      </c>
    </row>
    <row r="40" customFormat="false" ht="15" hidden="false" customHeight="false" outlineLevel="0" collapsed="false">
      <c r="C40" s="146" t="s">
        <v>307</v>
      </c>
      <c r="D40" s="147" t="s">
        <v>308</v>
      </c>
      <c r="E40" s="147"/>
      <c r="F40" s="163" t="n">
        <f aca="false">450+161.49</f>
        <v>611.49</v>
      </c>
      <c r="H40" s="149" t="s">
        <v>179</v>
      </c>
      <c r="J40" s="150" t="s">
        <v>296</v>
      </c>
      <c r="N40" s="167"/>
    </row>
    <row r="41" customFormat="false" ht="15.75" hidden="false" customHeight="false" outlineLevel="0" collapsed="false">
      <c r="C41" s="146" t="s">
        <v>309</v>
      </c>
      <c r="D41" s="147" t="s">
        <v>310</v>
      </c>
      <c r="E41" s="147"/>
      <c r="F41" s="163" t="n">
        <v>450</v>
      </c>
      <c r="H41" s="149" t="s">
        <v>179</v>
      </c>
      <c r="J41" s="150"/>
      <c r="N41" s="167"/>
    </row>
    <row r="42" customFormat="false" ht="15.75" hidden="false" customHeight="false" outlineLevel="0" collapsed="false">
      <c r="C42" s="146" t="s">
        <v>311</v>
      </c>
      <c r="D42" s="147" t="s">
        <v>312</v>
      </c>
      <c r="E42" s="147"/>
      <c r="F42" s="168" t="n">
        <v>2</v>
      </c>
      <c r="H42" s="155" t="s">
        <v>268</v>
      </c>
      <c r="J42" s="156" t="s">
        <v>313</v>
      </c>
    </row>
    <row r="43" customFormat="false" ht="15" hidden="false" customHeight="false" outlineLevel="0" collapsed="false">
      <c r="C43" s="146" t="s">
        <v>314</v>
      </c>
      <c r="D43" s="147" t="s">
        <v>315</v>
      </c>
      <c r="E43" s="147"/>
      <c r="F43" s="168" t="n">
        <v>0.2</v>
      </c>
      <c r="H43" s="155" t="s">
        <v>268</v>
      </c>
      <c r="J43" s="160" t="s">
        <v>313</v>
      </c>
    </row>
    <row r="44" customFormat="false" ht="15" hidden="false" customHeight="false" outlineLevel="0" collapsed="false">
      <c r="C44" s="146" t="s">
        <v>316</v>
      </c>
      <c r="D44" s="147" t="s">
        <v>317</v>
      </c>
      <c r="E44" s="147"/>
      <c r="F44" s="168" t="n">
        <v>0.3</v>
      </c>
      <c r="H44" s="155" t="s">
        <v>268</v>
      </c>
      <c r="J44" s="160" t="s">
        <v>313</v>
      </c>
    </row>
    <row r="45" customFormat="false" ht="15" hidden="false" customHeight="false" outlineLevel="0" collapsed="false">
      <c r="C45" s="146" t="s">
        <v>318</v>
      </c>
      <c r="D45" s="145" t="s">
        <v>319</v>
      </c>
      <c r="E45" s="147"/>
      <c r="F45" s="168" t="n">
        <v>0.1</v>
      </c>
      <c r="H45" s="155" t="s">
        <v>268</v>
      </c>
      <c r="J45" s="160" t="s">
        <v>313</v>
      </c>
    </row>
    <row r="46" customFormat="false" ht="15" hidden="false" customHeight="false" outlineLevel="0" collapsed="false">
      <c r="C46" s="146" t="s">
        <v>320</v>
      </c>
      <c r="D46" s="147" t="s">
        <v>321</v>
      </c>
      <c r="E46" s="147"/>
      <c r="F46" s="169" t="n">
        <v>2</v>
      </c>
      <c r="H46" s="155" t="s">
        <v>268</v>
      </c>
      <c r="J46" s="160" t="s">
        <v>313</v>
      </c>
    </row>
    <row r="47" customFormat="false" ht="15" hidden="false" customHeight="false" outlineLevel="0" collapsed="false">
      <c r="C47" s="146" t="s">
        <v>322</v>
      </c>
      <c r="D47" s="147" t="s">
        <v>323</v>
      </c>
      <c r="E47" s="147"/>
      <c r="F47" s="169" t="n">
        <v>0.2</v>
      </c>
      <c r="H47" s="155" t="s">
        <v>268</v>
      </c>
      <c r="J47" s="160" t="s">
        <v>313</v>
      </c>
    </row>
    <row r="48" customFormat="false" ht="15" hidden="false" customHeight="false" outlineLevel="0" collapsed="false">
      <c r="C48" s="146" t="s">
        <v>324</v>
      </c>
      <c r="D48" s="147" t="s">
        <v>325</v>
      </c>
      <c r="E48" s="147"/>
      <c r="F48" s="169" t="n">
        <v>0.3</v>
      </c>
      <c r="H48" s="155" t="s">
        <v>268</v>
      </c>
      <c r="J48" s="160" t="s">
        <v>313</v>
      </c>
    </row>
    <row r="49" customFormat="false" ht="15" hidden="false" customHeight="false" outlineLevel="0" collapsed="false">
      <c r="C49" s="146" t="s">
        <v>326</v>
      </c>
      <c r="D49" s="145" t="s">
        <v>327</v>
      </c>
      <c r="E49" s="147"/>
      <c r="F49" s="169" t="n">
        <v>0.1</v>
      </c>
      <c r="H49" s="155" t="s">
        <v>268</v>
      </c>
      <c r="J49" s="160" t="s">
        <v>313</v>
      </c>
    </row>
    <row r="50" customFormat="false" ht="15.75" hidden="false" customHeight="false" outlineLevel="0" collapsed="false">
      <c r="C50" s="146" t="s">
        <v>328</v>
      </c>
      <c r="D50" s="147" t="s">
        <v>329</v>
      </c>
      <c r="E50" s="147"/>
      <c r="F50" s="170" t="n">
        <v>35.82</v>
      </c>
      <c r="H50" s="149" t="s">
        <v>330</v>
      </c>
      <c r="J50" s="150" t="s">
        <v>296</v>
      </c>
    </row>
    <row r="51" s="175" customFormat="true" ht="44.25" hidden="false" customHeight="true" outlineLevel="0" collapsed="false">
      <c r="A51" s="171"/>
      <c r="B51" s="172"/>
      <c r="C51" s="151" t="s">
        <v>331</v>
      </c>
      <c r="D51" s="152" t="s">
        <v>332</v>
      </c>
      <c r="E51" s="152"/>
      <c r="F51" s="173" t="n">
        <v>40</v>
      </c>
      <c r="G51" s="174"/>
      <c r="H51" s="155" t="s">
        <v>330</v>
      </c>
      <c r="I51" s="174"/>
      <c r="J51" s="156" t="s">
        <v>333</v>
      </c>
    </row>
    <row r="52" customFormat="false" ht="12.75" hidden="false" customHeight="false" outlineLevel="0" collapsed="false">
      <c r="F52" s="138"/>
      <c r="H52" s="138"/>
    </row>
    <row r="53" customFormat="false" ht="12.75" hidden="false" customHeight="false" outlineLevel="0" collapsed="false">
      <c r="A53" s="136" t="s">
        <v>334</v>
      </c>
      <c r="B53" s="137" t="s">
        <v>335</v>
      </c>
      <c r="F53" s="138"/>
      <c r="H53" s="138"/>
    </row>
    <row r="54" customFormat="false" ht="15" hidden="false" customHeight="false" outlineLevel="0" collapsed="false">
      <c r="C54" s="146" t="s">
        <v>336</v>
      </c>
      <c r="D54" s="147" t="s">
        <v>337</v>
      </c>
      <c r="E54" s="147"/>
      <c r="F54" s="163" t="n">
        <v>0</v>
      </c>
      <c r="H54" s="149" t="s">
        <v>338</v>
      </c>
      <c r="J54" s="150" t="s">
        <v>296</v>
      </c>
    </row>
    <row r="55" customFormat="false" ht="15" hidden="false" customHeight="false" outlineLevel="0" collapsed="false">
      <c r="C55" s="146" t="s">
        <v>339</v>
      </c>
      <c r="D55" s="147" t="s">
        <v>340</v>
      </c>
      <c r="E55" s="147"/>
      <c r="F55" s="163" t="n">
        <v>1455.04</v>
      </c>
      <c r="H55" s="149" t="s">
        <v>338</v>
      </c>
      <c r="J55" s="150" t="s">
        <v>296</v>
      </c>
    </row>
    <row r="56" customFormat="false" ht="15" hidden="false" customHeight="false" outlineLevel="0" collapsed="false">
      <c r="C56" s="146" t="s">
        <v>341</v>
      </c>
      <c r="D56" s="147" t="s">
        <v>342</v>
      </c>
      <c r="E56" s="147"/>
      <c r="F56" s="163" t="n">
        <f aca="false">'2.2 Custo Fixo'!H25*12</f>
        <v>59137.2</v>
      </c>
      <c r="H56" s="149" t="s">
        <v>338</v>
      </c>
      <c r="J56" s="150" t="s">
        <v>296</v>
      </c>
    </row>
    <row r="57" customFormat="false" ht="15" hidden="false" customHeight="false" outlineLevel="0" collapsed="false">
      <c r="C57" s="146" t="s">
        <v>343</v>
      </c>
      <c r="D57" s="147" t="s">
        <v>344</v>
      </c>
      <c r="E57" s="147"/>
      <c r="F57" s="108" t="n">
        <v>0</v>
      </c>
      <c r="H57" s="149" t="s">
        <v>338</v>
      </c>
      <c r="J57" s="150" t="s">
        <v>296</v>
      </c>
    </row>
    <row r="58" customFormat="false" ht="15" hidden="false" customHeight="false" outlineLevel="0" collapsed="false">
      <c r="D58" s="145"/>
      <c r="E58" s="145"/>
      <c r="F58" s="138"/>
      <c r="H58" s="149"/>
      <c r="J58" s="150"/>
    </row>
    <row r="59" customFormat="false" ht="12.75" hidden="false" customHeight="false" outlineLevel="0" collapsed="false">
      <c r="A59" s="136" t="s">
        <v>345</v>
      </c>
      <c r="B59" s="137" t="s">
        <v>346</v>
      </c>
      <c r="F59" s="138"/>
      <c r="M59" s="167"/>
    </row>
    <row r="60" s="175" customFormat="true" ht="29.25" hidden="false" customHeight="true" outlineLevel="0" collapsed="false">
      <c r="A60" s="171"/>
      <c r="B60" s="172"/>
      <c r="C60" s="151" t="s">
        <v>347</v>
      </c>
      <c r="D60" s="152" t="s">
        <v>348</v>
      </c>
      <c r="E60" s="152"/>
      <c r="F60" s="176"/>
      <c r="G60" s="154"/>
      <c r="H60" s="155" t="s">
        <v>349</v>
      </c>
      <c r="I60" s="174"/>
      <c r="J60" s="177" t="s">
        <v>296</v>
      </c>
    </row>
    <row r="61" customFormat="false" ht="15" hidden="false" customHeight="false" outlineLevel="0" collapsed="false">
      <c r="C61" s="151" t="s">
        <v>350</v>
      </c>
      <c r="D61" s="147" t="s">
        <v>351</v>
      </c>
      <c r="E61" s="147"/>
      <c r="F61" s="176"/>
      <c r="H61" s="149" t="s">
        <v>176</v>
      </c>
      <c r="J61" s="177" t="s">
        <v>296</v>
      </c>
    </row>
    <row r="62" customFormat="false" ht="15" hidden="false" customHeight="false" outlineLevel="0" collapsed="false">
      <c r="C62" s="151" t="s">
        <v>352</v>
      </c>
      <c r="D62" s="145" t="s">
        <v>353</v>
      </c>
      <c r="F62" s="176"/>
      <c r="G62" s="154"/>
      <c r="H62" s="149" t="s">
        <v>349</v>
      </c>
      <c r="J62" s="177" t="s">
        <v>296</v>
      </c>
    </row>
    <row r="63" customFormat="false" ht="15" hidden="false" customHeight="false" outlineLevel="0" collapsed="false">
      <c r="C63" s="151" t="s">
        <v>354</v>
      </c>
      <c r="D63" s="137" t="s">
        <v>355</v>
      </c>
      <c r="F63" s="176"/>
      <c r="H63" s="137" t="s">
        <v>356</v>
      </c>
      <c r="J63" s="177" t="s">
        <v>296</v>
      </c>
    </row>
    <row r="64" customFormat="false" ht="12.75" hidden="false" customHeight="false" outlineLevel="0" collapsed="false">
      <c r="F64" s="138"/>
    </row>
    <row r="65" customFormat="false" ht="12.75" hidden="false" customHeight="false" outlineLevel="0" collapsed="false">
      <c r="A65" s="136" t="s">
        <v>357</v>
      </c>
      <c r="B65" s="144" t="s">
        <v>358</v>
      </c>
      <c r="C65" s="144"/>
      <c r="D65" s="144"/>
      <c r="E65" s="145"/>
      <c r="F65" s="138"/>
    </row>
    <row r="66" customFormat="false" ht="21.75" hidden="false" customHeight="true" outlineLevel="0" collapsed="false">
      <c r="B66" s="145"/>
      <c r="C66" s="146" t="s">
        <v>359</v>
      </c>
      <c r="D66" s="145" t="s">
        <v>360</v>
      </c>
      <c r="E66" s="145"/>
      <c r="F66" s="176" t="n">
        <v>0.98</v>
      </c>
      <c r="H66" s="149" t="s">
        <v>330</v>
      </c>
      <c r="J66" s="150" t="s">
        <v>255</v>
      </c>
    </row>
    <row r="67" customFormat="false" ht="15" hidden="false" customHeight="false" outlineLevel="0" collapsed="false">
      <c r="B67" s="145"/>
      <c r="C67" s="146" t="s">
        <v>361</v>
      </c>
      <c r="D67" s="145" t="s">
        <v>362</v>
      </c>
      <c r="E67" s="145"/>
      <c r="F67" s="176" t="n">
        <v>0.39</v>
      </c>
      <c r="H67" s="149" t="s">
        <v>330</v>
      </c>
      <c r="J67" s="150" t="s">
        <v>255</v>
      </c>
      <c r="N67" s="178"/>
    </row>
    <row r="68" customFormat="false" ht="15" hidden="false" customHeight="false" outlineLevel="0" collapsed="false">
      <c r="C68" s="146" t="s">
        <v>363</v>
      </c>
      <c r="D68" s="147" t="s">
        <v>358</v>
      </c>
      <c r="E68" s="147"/>
      <c r="F68" s="168" t="n">
        <f aca="false">F66-F67/2</f>
        <v>0.785</v>
      </c>
      <c r="G68" s="148"/>
      <c r="H68" s="149" t="s">
        <v>330</v>
      </c>
      <c r="J68" s="150"/>
    </row>
    <row r="69" customFormat="false" ht="12.75" hidden="false" customHeight="false" outlineLevel="0" collapsed="false">
      <c r="F69" s="138"/>
    </row>
    <row r="70" customFormat="false" ht="12.75" hidden="false" customHeight="false" outlineLevel="0" collapsed="false">
      <c r="A70" s="136" t="s">
        <v>364</v>
      </c>
      <c r="B70" s="137" t="s">
        <v>365</v>
      </c>
      <c r="F70" s="138"/>
    </row>
    <row r="71" customFormat="false" ht="21" hidden="false" customHeight="true" outlineLevel="0" collapsed="false">
      <c r="A71" s="171"/>
      <c r="B71" s="172"/>
      <c r="C71" s="151" t="s">
        <v>366</v>
      </c>
      <c r="D71" s="152" t="s">
        <v>367</v>
      </c>
      <c r="E71" s="152"/>
      <c r="F71" s="163" t="n">
        <v>3200000</v>
      </c>
      <c r="G71" s="154"/>
      <c r="H71" s="149" t="s">
        <v>176</v>
      </c>
      <c r="J71" s="177" t="s">
        <v>296</v>
      </c>
    </row>
    <row r="72" customFormat="false" ht="15.75" hidden="false" customHeight="false" outlineLevel="0" collapsed="false">
      <c r="C72" s="151" t="s">
        <v>368</v>
      </c>
      <c r="D72" s="147" t="s">
        <v>369</v>
      </c>
      <c r="E72" s="147"/>
      <c r="F72" s="163" t="n">
        <v>200000</v>
      </c>
      <c r="H72" s="149" t="s">
        <v>176</v>
      </c>
      <c r="J72" s="177" t="s">
        <v>296</v>
      </c>
    </row>
    <row r="73" customFormat="false" ht="15.75" hidden="false" customHeight="false" outlineLevel="0" collapsed="false">
      <c r="A73" s="171"/>
      <c r="C73" s="151" t="s">
        <v>370</v>
      </c>
      <c r="D73" s="147" t="s">
        <v>371</v>
      </c>
      <c r="E73" s="147"/>
      <c r="F73" s="168" t="n">
        <v>25</v>
      </c>
      <c r="G73" s="154"/>
      <c r="H73" s="149" t="s">
        <v>349</v>
      </c>
      <c r="J73" s="156" t="s">
        <v>372</v>
      </c>
    </row>
    <row r="74" customFormat="false" ht="15" hidden="false" customHeight="false" outlineLevel="0" collapsed="false">
      <c r="A74" s="171"/>
      <c r="C74" s="151" t="s">
        <v>373</v>
      </c>
      <c r="D74" s="147" t="s">
        <v>374</v>
      </c>
      <c r="E74" s="147"/>
      <c r="F74" s="168" t="n">
        <v>0</v>
      </c>
      <c r="G74" s="154"/>
      <c r="H74" s="149" t="s">
        <v>330</v>
      </c>
      <c r="J74" s="160" t="s">
        <v>372</v>
      </c>
    </row>
    <row r="75" customFormat="false" ht="15" hidden="false" customHeight="false" outlineLevel="0" collapsed="false">
      <c r="C75" s="151" t="s">
        <v>375</v>
      </c>
      <c r="D75" s="147" t="s">
        <v>376</v>
      </c>
      <c r="E75" s="147"/>
      <c r="F75" s="163" t="n">
        <v>150000</v>
      </c>
      <c r="H75" s="149" t="s">
        <v>176</v>
      </c>
      <c r="J75" s="177" t="s">
        <v>296</v>
      </c>
    </row>
    <row r="76" customFormat="false" ht="15" hidden="false" customHeight="false" outlineLevel="0" collapsed="false">
      <c r="C76" s="151" t="s">
        <v>377</v>
      </c>
      <c r="D76" s="147" t="s">
        <v>378</v>
      </c>
      <c r="E76" s="147"/>
      <c r="F76" s="168" t="n">
        <v>10</v>
      </c>
      <c r="G76" s="154"/>
      <c r="H76" s="149" t="s">
        <v>349</v>
      </c>
      <c r="J76" s="160" t="s">
        <v>372</v>
      </c>
    </row>
    <row r="77" customFormat="false" ht="15" hidden="false" customHeight="false" outlineLevel="0" collapsed="false">
      <c r="C77" s="151" t="s">
        <v>379</v>
      </c>
      <c r="D77" s="147" t="s">
        <v>380</v>
      </c>
      <c r="E77" s="147"/>
      <c r="F77" s="168" t="n">
        <v>0</v>
      </c>
      <c r="G77" s="154"/>
      <c r="H77" s="149" t="s">
        <v>330</v>
      </c>
      <c r="J77" s="160" t="s">
        <v>372</v>
      </c>
    </row>
    <row r="78" customFormat="false" ht="15" hidden="false" customHeight="false" outlineLevel="0" collapsed="false">
      <c r="C78" s="151" t="s">
        <v>381</v>
      </c>
      <c r="D78" s="179" t="s">
        <v>382</v>
      </c>
      <c r="E78" s="180"/>
      <c r="F78" s="176" t="n">
        <v>30000</v>
      </c>
      <c r="G78" s="154"/>
      <c r="H78" s="149" t="s">
        <v>176</v>
      </c>
      <c r="J78" s="177" t="s">
        <v>296</v>
      </c>
    </row>
    <row r="79" customFormat="false" ht="15" hidden="false" customHeight="false" outlineLevel="0" collapsed="false">
      <c r="C79" s="151" t="s">
        <v>383</v>
      </c>
      <c r="D79" s="179" t="s">
        <v>384</v>
      </c>
      <c r="E79" s="180"/>
      <c r="F79" s="181"/>
      <c r="G79" s="154"/>
      <c r="H79" s="149" t="s">
        <v>349</v>
      </c>
      <c r="J79" s="160" t="s">
        <v>372</v>
      </c>
    </row>
    <row r="80" customFormat="false" ht="15" hidden="false" customHeight="false" outlineLevel="0" collapsed="false">
      <c r="C80" s="151" t="s">
        <v>385</v>
      </c>
      <c r="D80" s="179" t="s">
        <v>386</v>
      </c>
      <c r="E80" s="180"/>
      <c r="F80" s="181"/>
      <c r="G80" s="154"/>
      <c r="H80" s="149" t="s">
        <v>330</v>
      </c>
      <c r="J80" s="160" t="s">
        <v>372</v>
      </c>
    </row>
    <row r="82" customFormat="false" ht="12.75" hidden="false" customHeight="false" outlineLevel="0" collapsed="false">
      <c r="A82" s="136" t="s">
        <v>387</v>
      </c>
      <c r="B82" s="137" t="s">
        <v>388</v>
      </c>
      <c r="F82" s="138"/>
    </row>
    <row r="83" s="175" customFormat="true" ht="50.25" hidden="false" customHeight="true" outlineLevel="0" collapsed="false">
      <c r="A83" s="171"/>
      <c r="B83" s="172"/>
      <c r="C83" s="151" t="s">
        <v>389</v>
      </c>
      <c r="D83" s="152" t="s">
        <v>390</v>
      </c>
      <c r="E83" s="152"/>
      <c r="F83" s="182" t="n">
        <v>0</v>
      </c>
      <c r="G83" s="154"/>
      <c r="H83" s="155" t="s">
        <v>179</v>
      </c>
      <c r="I83" s="174"/>
      <c r="J83" s="177" t="s">
        <v>296</v>
      </c>
    </row>
    <row r="84" s="175" customFormat="true" ht="26.25" hidden="false" customHeight="true" outlineLevel="0" collapsed="false">
      <c r="A84" s="171"/>
      <c r="B84" s="172"/>
      <c r="C84" s="151" t="s">
        <v>391</v>
      </c>
      <c r="D84" s="152" t="s">
        <v>392</v>
      </c>
      <c r="E84" s="152"/>
      <c r="F84" s="182" t="n">
        <f aca="false">'2.2 Custo Fixo'!H30*12</f>
        <v>66060</v>
      </c>
      <c r="G84" s="154"/>
      <c r="H84" s="155" t="s">
        <v>393</v>
      </c>
      <c r="I84" s="174"/>
      <c r="J84" s="177" t="s">
        <v>296</v>
      </c>
    </row>
    <row r="85" s="175" customFormat="true" ht="24.75" hidden="false" customHeight="true" outlineLevel="0" collapsed="false">
      <c r="A85" s="171"/>
      <c r="B85" s="172"/>
      <c r="C85" s="151" t="s">
        <v>394</v>
      </c>
      <c r="D85" s="152" t="s">
        <v>395</v>
      </c>
      <c r="E85" s="152"/>
      <c r="F85" s="176" t="n">
        <v>0</v>
      </c>
      <c r="G85" s="154"/>
      <c r="H85" s="155" t="s">
        <v>338</v>
      </c>
      <c r="I85" s="174"/>
      <c r="J85" s="177" t="s">
        <v>296</v>
      </c>
    </row>
    <row r="86" s="175" customFormat="true" ht="24.75" hidden="false" customHeight="true" outlineLevel="0" collapsed="false">
      <c r="A86" s="171"/>
      <c r="B86" s="172"/>
      <c r="C86" s="151" t="s">
        <v>396</v>
      </c>
      <c r="D86" s="152" t="s">
        <v>397</v>
      </c>
      <c r="E86" s="152"/>
      <c r="F86" s="176" t="n">
        <v>16</v>
      </c>
      <c r="G86" s="154"/>
      <c r="H86" s="155" t="s">
        <v>398</v>
      </c>
      <c r="I86" s="174"/>
      <c r="J86" s="177" t="s">
        <v>296</v>
      </c>
    </row>
    <row r="87" s="175" customFormat="true" ht="24.75" hidden="false" customHeight="true" outlineLevel="0" collapsed="false">
      <c r="A87" s="171"/>
      <c r="B87" s="172"/>
      <c r="C87" s="151" t="s">
        <v>399</v>
      </c>
      <c r="D87" s="152" t="s">
        <v>400</v>
      </c>
      <c r="E87" s="152"/>
      <c r="F87" s="176" t="n">
        <v>0</v>
      </c>
      <c r="G87" s="154"/>
      <c r="H87" s="155" t="s">
        <v>179</v>
      </c>
      <c r="I87" s="174"/>
      <c r="J87" s="177" t="s">
        <v>296</v>
      </c>
    </row>
    <row r="88" customFormat="false" ht="15" hidden="false" customHeight="false" outlineLevel="0" collapsed="false">
      <c r="C88" s="151" t="s">
        <v>401</v>
      </c>
      <c r="D88" s="137" t="s">
        <v>402</v>
      </c>
      <c r="F88" s="176" t="n">
        <v>4000</v>
      </c>
      <c r="G88" s="154"/>
      <c r="H88" s="149" t="s">
        <v>179</v>
      </c>
      <c r="J88" s="177" t="s">
        <v>296</v>
      </c>
    </row>
    <row r="89" customFormat="false" ht="15" hidden="false" customHeight="false" outlineLevel="0" collapsed="false">
      <c r="C89" s="151"/>
      <c r="F89" s="149"/>
      <c r="G89" s="149"/>
      <c r="H89" s="149"/>
      <c r="J89" s="177"/>
    </row>
    <row r="90" customFormat="false" ht="13.5" hidden="false" customHeight="false" outlineLevel="0" collapsed="false">
      <c r="A90" s="136" t="s">
        <v>403</v>
      </c>
      <c r="B90" s="137" t="s">
        <v>404</v>
      </c>
      <c r="F90" s="138"/>
    </row>
    <row r="91" s="175" customFormat="true" ht="28.5" hidden="false" customHeight="true" outlineLevel="0" collapsed="false">
      <c r="A91" s="171"/>
      <c r="B91" s="172"/>
      <c r="C91" s="172" t="s">
        <v>405</v>
      </c>
      <c r="D91" s="152" t="s">
        <v>406</v>
      </c>
      <c r="E91" s="152"/>
      <c r="F91" s="183" t="n">
        <v>7.31</v>
      </c>
      <c r="G91" s="154"/>
      <c r="H91" s="155" t="s">
        <v>330</v>
      </c>
      <c r="I91" s="174"/>
      <c r="J91" s="156" t="s">
        <v>407</v>
      </c>
    </row>
    <row r="92" customFormat="false" ht="13.5" hidden="false" customHeight="false" outlineLevel="0" collapsed="false"/>
    <row r="93" customFormat="false" ht="15.75" hidden="false" customHeight="false" outlineLevel="0" collapsed="false">
      <c r="A93" s="136" t="s">
        <v>408</v>
      </c>
      <c r="B93" s="137" t="s">
        <v>409</v>
      </c>
      <c r="F93" s="184" t="n">
        <f aca="false">'A.XVI. Despesas Gerais'!D49</f>
        <v>361729.92</v>
      </c>
      <c r="H93" s="149" t="s">
        <v>338</v>
      </c>
      <c r="J93" s="156" t="s">
        <v>410</v>
      </c>
    </row>
    <row r="95" customFormat="false" ht="12.75" hidden="false" customHeight="false" outlineLevel="0" collapsed="false">
      <c r="A95" s="136" t="s">
        <v>411</v>
      </c>
      <c r="B95" s="137" t="s">
        <v>412</v>
      </c>
      <c r="F95" s="138"/>
    </row>
    <row r="96" s="175" customFormat="true" ht="23.25" hidden="false" customHeight="true" outlineLevel="0" collapsed="false">
      <c r="A96" s="171"/>
      <c r="B96" s="172"/>
      <c r="C96" s="151" t="s">
        <v>413</v>
      </c>
      <c r="D96" s="152" t="s">
        <v>414</v>
      </c>
      <c r="E96" s="152"/>
      <c r="F96" s="185" t="n">
        <v>0</v>
      </c>
      <c r="G96" s="154"/>
      <c r="H96" s="155" t="s">
        <v>330</v>
      </c>
      <c r="I96" s="174"/>
      <c r="J96" s="177" t="s">
        <v>296</v>
      </c>
    </row>
    <row r="97" s="175" customFormat="true" ht="15" hidden="false" customHeight="true" outlineLevel="0" collapsed="false">
      <c r="A97" s="171"/>
      <c r="B97" s="172"/>
      <c r="C97" s="151" t="s">
        <v>415</v>
      </c>
      <c r="D97" s="152" t="s">
        <v>416</v>
      </c>
      <c r="E97" s="152"/>
      <c r="F97" s="186" t="n">
        <v>0</v>
      </c>
      <c r="G97" s="154"/>
      <c r="H97" s="155" t="s">
        <v>330</v>
      </c>
      <c r="I97" s="174"/>
      <c r="J97" s="177" t="s">
        <v>296</v>
      </c>
    </row>
    <row r="98" s="175" customFormat="true" ht="24.75" hidden="false" customHeight="true" outlineLevel="0" collapsed="false">
      <c r="A98" s="171"/>
      <c r="B98" s="172"/>
      <c r="C98" s="151" t="s">
        <v>417</v>
      </c>
      <c r="D98" s="152" t="s">
        <v>418</v>
      </c>
      <c r="E98" s="152"/>
      <c r="F98" s="186" t="n">
        <v>0</v>
      </c>
      <c r="G98" s="154"/>
      <c r="H98" s="155" t="s">
        <v>330</v>
      </c>
      <c r="I98" s="174"/>
      <c r="J98" s="177" t="s">
        <v>296</v>
      </c>
    </row>
    <row r="99" s="175" customFormat="true" ht="24.75" hidden="false" customHeight="true" outlineLevel="0" collapsed="false">
      <c r="A99" s="171"/>
      <c r="B99" s="172"/>
      <c r="C99" s="151" t="s">
        <v>419</v>
      </c>
      <c r="D99" s="152" t="s">
        <v>420</v>
      </c>
      <c r="E99" s="152"/>
      <c r="F99" s="185" t="n">
        <v>1.08</v>
      </c>
      <c r="G99" s="154"/>
      <c r="H99" s="155" t="s">
        <v>330</v>
      </c>
      <c r="I99" s="174"/>
      <c r="J99" s="177" t="s">
        <v>296</v>
      </c>
    </row>
    <row r="100" s="175" customFormat="true" ht="15" hidden="false" customHeight="true" outlineLevel="0" collapsed="false">
      <c r="A100" s="171"/>
      <c r="B100" s="172"/>
      <c r="C100" s="151" t="s">
        <v>421</v>
      </c>
      <c r="D100" s="152" t="s">
        <v>422</v>
      </c>
      <c r="E100" s="152"/>
      <c r="F100" s="186" t="n">
        <v>1</v>
      </c>
      <c r="G100" s="154"/>
      <c r="H100" s="155" t="s">
        <v>330</v>
      </c>
      <c r="I100" s="174"/>
      <c r="J100" s="177" t="s">
        <v>296</v>
      </c>
    </row>
    <row r="101" s="175" customFormat="true" ht="15" hidden="false" customHeight="true" outlineLevel="0" collapsed="false">
      <c r="A101" s="171"/>
      <c r="B101" s="172"/>
      <c r="C101" s="151" t="s">
        <v>423</v>
      </c>
      <c r="D101" s="152" t="s">
        <v>424</v>
      </c>
      <c r="E101" s="152"/>
      <c r="F101" s="185" t="n">
        <v>0</v>
      </c>
      <c r="G101" s="154"/>
      <c r="H101" s="155" t="s">
        <v>330</v>
      </c>
      <c r="I101" s="174"/>
      <c r="J101" s="177" t="s">
        <v>296</v>
      </c>
    </row>
    <row r="102" s="175" customFormat="true" ht="23.25" hidden="false" customHeight="true" outlineLevel="0" collapsed="false">
      <c r="A102" s="171"/>
      <c r="B102" s="172"/>
      <c r="C102" s="151" t="s">
        <v>425</v>
      </c>
      <c r="D102" s="152" t="s">
        <v>426</v>
      </c>
      <c r="E102" s="152"/>
      <c r="F102" s="186" t="n">
        <v>2.4</v>
      </c>
      <c r="G102" s="154"/>
      <c r="H102" s="155" t="s">
        <v>330</v>
      </c>
      <c r="I102" s="174"/>
      <c r="J102" s="177" t="s">
        <v>296</v>
      </c>
    </row>
    <row r="104" customFormat="false" ht="15" hidden="false" customHeight="false" outlineLevel="0" collapsed="false">
      <c r="A104" s="136" t="s">
        <v>411</v>
      </c>
      <c r="B104" s="137" t="s">
        <v>427</v>
      </c>
      <c r="F104" s="155"/>
    </row>
    <row r="105" customFormat="false" ht="15" hidden="false" customHeight="false" outlineLevel="0" collapsed="false">
      <c r="C105" s="151" t="s">
        <v>413</v>
      </c>
      <c r="D105" s="187" t="s">
        <v>428</v>
      </c>
      <c r="E105" s="187"/>
      <c r="F105" s="188"/>
      <c r="G105" s="154"/>
      <c r="H105" s="155" t="s">
        <v>179</v>
      </c>
      <c r="I105" s="174"/>
      <c r="J105" s="177" t="s">
        <v>296</v>
      </c>
    </row>
  </sheetData>
  <mergeCells count="59">
    <mergeCell ref="B3:J3"/>
    <mergeCell ref="B8:D8"/>
    <mergeCell ref="D9:E9"/>
    <mergeCell ref="L10:O10"/>
    <mergeCell ref="B11:D11"/>
    <mergeCell ref="D12:E12"/>
    <mergeCell ref="D15:E15"/>
    <mergeCell ref="D16:E16"/>
    <mergeCell ref="C19:C21"/>
    <mergeCell ref="D19:D21"/>
    <mergeCell ref="C22:C24"/>
    <mergeCell ref="D22:D24"/>
    <mergeCell ref="D28:E28"/>
    <mergeCell ref="D31:E31"/>
    <mergeCell ref="D34:E34"/>
    <mergeCell ref="D35:E35"/>
    <mergeCell ref="D36:E36"/>
    <mergeCell ref="D37:E37"/>
    <mergeCell ref="D38:E38"/>
    <mergeCell ref="D39:E39"/>
    <mergeCell ref="D40:E40"/>
    <mergeCell ref="D41:E41"/>
    <mergeCell ref="D42:E42"/>
    <mergeCell ref="D43:E43"/>
    <mergeCell ref="D44:E44"/>
    <mergeCell ref="D46:E46"/>
    <mergeCell ref="D47:E47"/>
    <mergeCell ref="D48:E48"/>
    <mergeCell ref="D50:E50"/>
    <mergeCell ref="D51:E51"/>
    <mergeCell ref="D54:E54"/>
    <mergeCell ref="D55:E55"/>
    <mergeCell ref="D56:E56"/>
    <mergeCell ref="D57:E57"/>
    <mergeCell ref="D60:E60"/>
    <mergeCell ref="D61:E61"/>
    <mergeCell ref="B65:D65"/>
    <mergeCell ref="D68:E68"/>
    <mergeCell ref="D71:E71"/>
    <mergeCell ref="D72:E72"/>
    <mergeCell ref="D73:E73"/>
    <mergeCell ref="D74:E74"/>
    <mergeCell ref="D75:E75"/>
    <mergeCell ref="D76:E76"/>
    <mergeCell ref="D77:E77"/>
    <mergeCell ref="D83:E83"/>
    <mergeCell ref="D84:E84"/>
    <mergeCell ref="D85:E85"/>
    <mergeCell ref="D86:E86"/>
    <mergeCell ref="D87:E87"/>
    <mergeCell ref="D91:E91"/>
    <mergeCell ref="D96:E96"/>
    <mergeCell ref="D97:E97"/>
    <mergeCell ref="D98:E98"/>
    <mergeCell ref="D99:E99"/>
    <mergeCell ref="D100:E100"/>
    <mergeCell ref="D101:E101"/>
    <mergeCell ref="D102:E102"/>
    <mergeCell ref="D105:E105"/>
  </mergeCells>
  <hyperlinks>
    <hyperlink ref="J12" location="'A.IV. Lub.'!A1" display="Buscar valor na aba A.IV - Lubrificantes "/>
    <hyperlink ref="D18" location="'A.VI. Rodagem'!A1" display="Verificar Anexo VI"/>
    <hyperlink ref="J28" location="'A.VIII. Custos ambientais'!A1" display="Buscar valor no Anexo VIII"/>
    <hyperlink ref="J42" location="'A.XII. FU'!A1" display="Buscar valor no Anexo XII"/>
    <hyperlink ref="J51" location="'A.XIII. DMA'!A1" display="Buscar valor no Anexo XIII"/>
    <hyperlink ref="J73" location="'A.IX.b. Deprec. garagem equip. '!A1" display="Buscar valor no Anexo IX"/>
    <hyperlink ref="J91" location="'A.XV. RPS (Simplificado)'!A1" display="Buscar valor no Anexo XV"/>
    <hyperlink ref="J93" location="'A.XVI. Despesas Gerais'!A1" display="Buscar valor no Anexo XVI"/>
  </hyperlink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95B3D7"/>
    <pageSetUpPr fitToPage="false"/>
  </sheetPr>
  <dimension ref="A1:K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7" activeCellId="0" sqref="E7"/>
    </sheetView>
  </sheetViews>
  <sheetFormatPr defaultColWidth="11.43359375" defaultRowHeight="12.75" zeroHeight="false" outlineLevelRow="0" outlineLevelCol="0"/>
  <cols>
    <col collapsed="false" customWidth="true" hidden="false" outlineLevel="0" max="1" min="1" style="189" width="5.28"/>
    <col collapsed="false" customWidth="true" hidden="false" outlineLevel="0" max="2" min="2" style="190" width="6.28"/>
    <col collapsed="false" customWidth="true" hidden="false" outlineLevel="0" max="3" min="3" style="190" width="24.29"/>
    <col collapsed="false" customWidth="true" hidden="false" outlineLevel="0" max="4" min="4" style="191" width="4.14"/>
    <col collapsed="false" customWidth="true" hidden="false" outlineLevel="0" max="5" min="5" style="0" width="17.58"/>
    <col collapsed="false" customWidth="true" hidden="false" outlineLevel="0" max="6" min="6" style="0" width="14.57"/>
    <col collapsed="false" customWidth="true" hidden="false" outlineLevel="0" max="8" min="8" style="0" width="1.29"/>
    <col collapsed="false" customWidth="true" hidden="false" outlineLevel="0" max="10" min="10" style="0" width="38.7"/>
    <col collapsed="false" customWidth="true" hidden="false" outlineLevel="0" max="11" min="11" style="0" width="1"/>
  </cols>
  <sheetData>
    <row r="1" s="192" customFormat="true" ht="12.75" hidden="false" customHeight="false" outlineLevel="0" collapsed="false">
      <c r="A1" s="192" t="s">
        <v>429</v>
      </c>
      <c r="B1" s="192" t="s">
        <v>430</v>
      </c>
      <c r="D1" s="193" t="s">
        <v>176</v>
      </c>
      <c r="E1" s="194" t="n">
        <f aca="false">SUM(E3:E8)</f>
        <v>158177.295621</v>
      </c>
      <c r="F1" s="195"/>
    </row>
    <row r="2" customFormat="false" ht="13.5" hidden="false" customHeight="false" outlineLevel="0" collapsed="false"/>
    <row r="3" customFormat="false" ht="15.75" hidden="false" customHeight="false" outlineLevel="0" collapsed="false">
      <c r="B3" s="190" t="s">
        <v>431</v>
      </c>
      <c r="C3" s="190" t="s">
        <v>432</v>
      </c>
      <c r="D3" s="196" t="s">
        <v>176</v>
      </c>
      <c r="E3" s="197" t="n">
        <f aca="false">'2.1.c Insumos'!F9*'2.1.a Combustível'!C73</f>
        <v>112770.17388</v>
      </c>
      <c r="F3" s="198"/>
      <c r="G3" s="198"/>
      <c r="H3" s="15" t="s">
        <v>16</v>
      </c>
      <c r="I3" s="15"/>
      <c r="J3" s="15"/>
      <c r="K3" s="15"/>
    </row>
    <row r="4" customFormat="false" ht="15" hidden="false" customHeight="false" outlineLevel="0" collapsed="false">
      <c r="B4" s="190" t="s">
        <v>433</v>
      </c>
      <c r="C4" s="190" t="s">
        <v>257</v>
      </c>
      <c r="D4" s="196" t="s">
        <v>176</v>
      </c>
      <c r="E4" s="197" t="n">
        <f aca="false">'2.1.c Insumos'!F9*'2.1.c Insumos'!F12*'1.4 Indicadores'!E9</f>
        <v>7115.260971</v>
      </c>
      <c r="F4" s="198"/>
      <c r="G4" s="198"/>
      <c r="H4" s="17"/>
      <c r="I4" s="18"/>
      <c r="J4" s="18"/>
      <c r="K4" s="19"/>
    </row>
    <row r="5" customFormat="false" ht="15" hidden="false" customHeight="false" outlineLevel="0" collapsed="false">
      <c r="B5" s="190" t="s">
        <v>434</v>
      </c>
      <c r="C5" s="190" t="s">
        <v>435</v>
      </c>
      <c r="D5" s="196" t="s">
        <v>176</v>
      </c>
      <c r="E5" s="197" t="n">
        <f aca="false">'2.1.c Insumos'!F15*'2.1.c Insumos'!F16*'2.1.a Combustível'!C73</f>
        <v>0</v>
      </c>
      <c r="F5" s="198"/>
      <c r="G5" s="198"/>
      <c r="H5" s="20"/>
      <c r="I5" s="21"/>
      <c r="J5" s="22" t="s">
        <v>18</v>
      </c>
      <c r="K5" s="23"/>
    </row>
    <row r="6" customFormat="false" ht="15" hidden="false" customHeight="false" outlineLevel="0" collapsed="false">
      <c r="B6" s="190" t="s">
        <v>436</v>
      </c>
      <c r="C6" s="190" t="s">
        <v>437</v>
      </c>
      <c r="D6" s="196" t="s">
        <v>176</v>
      </c>
      <c r="E6" s="197" t="n">
        <f aca="false">('1.4 Indicadores'!E9/'1.4 Indicadores'!E16)*SUM('A.VI. Rodagem'!E54:F60)</f>
        <v>9502.80877</v>
      </c>
      <c r="F6" s="198"/>
      <c r="G6" s="198"/>
      <c r="H6" s="20"/>
      <c r="I6" s="27"/>
      <c r="J6" s="22" t="s">
        <v>20</v>
      </c>
      <c r="K6" s="23"/>
    </row>
    <row r="7" customFormat="false" ht="15" hidden="false" customHeight="false" outlineLevel="0" collapsed="false">
      <c r="B7" s="190" t="s">
        <v>438</v>
      </c>
      <c r="C7" s="190" t="s">
        <v>439</v>
      </c>
      <c r="D7" s="196" t="s">
        <v>176</v>
      </c>
      <c r="E7" s="197" t="n">
        <f aca="false">((((SUM('1.3 Frota Total'!E31:H33)+SUM('1.3 Frota Total'!E37:H39)+SUM('1.3 Frota Total'!E43:H45)+SUM('1.3 Frota Total'!E52:H54)+SUM('1.3 Frota Total'!E61:H63)+SUM('1.3 Frota Total'!E72:H74)+SUM('1.3 Frota Total'!E85:H87))*'A.VII. Peças e acessórios '!F7+((SUM('1.3 Frota Total'!E34:H35)+SUM('1.3 Frota Total'!E40:H41)+SUM('1.3 Frota Total'!E46:H47)+SUM('1.3 Frota Total'!E55:H56)+SUM('1.3 Frota Total'!E64:H65)+SUM('1.3 Frota Total'!E75:H76)+SUM('1.3 Frota Total'!E88:H89))*'A.VII. Peças e acessórios '!F8)+((SUM('1.3 Frota Total'!E36:H36)+SUM('1.3 Frota Total'!E42:H42)+SUM('1.3 Frota Total'!E48:H49)+SUM('1.3 Frota Total'!E57:H58)+SUM('1.3 Frota Total'!E66:H67)+SUM('1.3 Frota Total'!E77:H78)+SUM('1.3 Frota Total'!E90:H91))*'A.VII. Peças e acessórios '!F9+((((AVERAGE('2.1.b Veículos'!D9,'2.1.b Veículos'!F9)*'A.VII. Peças e acessórios '!F9)))/12)*(SUM('1.3 Frota Total'!E52:H59)+SUM('1.3 Frota Total'!E60:H60)/6)))))</f>
        <v>27815.52</v>
      </c>
      <c r="F7" s="199"/>
      <c r="G7" s="198"/>
      <c r="H7" s="20"/>
      <c r="I7" s="28"/>
      <c r="J7" s="22" t="s">
        <v>22</v>
      </c>
      <c r="K7" s="23"/>
    </row>
    <row r="8" customFormat="false" ht="15.75" hidden="false" customHeight="false" outlineLevel="0" collapsed="false">
      <c r="B8" s="190" t="s">
        <v>440</v>
      </c>
      <c r="C8" s="190" t="s">
        <v>282</v>
      </c>
      <c r="D8" s="196" t="s">
        <v>176</v>
      </c>
      <c r="E8" s="197" t="n">
        <f aca="false">('2.1.b Veículos'!D9+'2.1.b Veículos'!F9)/2*'2.1.c Insumos'!F28</f>
        <v>973.532</v>
      </c>
      <c r="F8" s="198"/>
      <c r="G8" s="198"/>
      <c r="H8" s="29"/>
      <c r="I8" s="30"/>
      <c r="J8" s="30"/>
      <c r="K8" s="31"/>
    </row>
    <row r="12" customFormat="false" ht="12.75" hidden="false" customHeight="false" outlineLevel="0" collapsed="false">
      <c r="F12" s="200"/>
    </row>
    <row r="15" customFormat="false" ht="12.75" hidden="false" customHeight="false" outlineLevel="0" collapsed="false">
      <c r="J15" s="201"/>
    </row>
    <row r="18" customFormat="false" ht="12.75" hidden="false" customHeight="false" outlineLevel="0" collapsed="false">
      <c r="I18" s="202"/>
    </row>
    <row r="19" customFormat="false" ht="12.75" hidden="false" customHeight="false" outlineLevel="0" collapsed="false">
      <c r="I19" s="202"/>
    </row>
    <row r="40" customFormat="false" ht="15" hidden="false" customHeight="false" outlineLevel="0" collapsed="false">
      <c r="J40" s="12"/>
    </row>
  </sheetData>
  <mergeCells count="1">
    <mergeCell ref="H3:K3"/>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LibreOffice/7.3.7.2$Windows_X86_64 LibreOffice_project/e114eadc50a9ff8d8c8a0567d6da8f454beeb84f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1997-01-10T22:22:50Z</dcterms:created>
  <dc:creator>Microsoft</dc:creator>
  <dc:description/>
  <dc:language>pt-BR</dc:language>
  <cp:lastModifiedBy/>
  <cp:lastPrinted>2021-01-05T19:12:34Z</cp:lastPrinted>
  <dcterms:modified xsi:type="dcterms:W3CDTF">2024-02-07T08:56:59Z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