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codeName="EstaPastaDeTrabalho" defaultThemeVersion="124226"/>
  <mc:AlternateContent xmlns:mc="http://schemas.openxmlformats.org/markup-compatibility/2006">
    <mc:Choice Requires="x15">
      <x15ac:absPath xmlns:x15ac="http://schemas.microsoft.com/office/spreadsheetml/2010/11/ac" url="C:\Users\Usuario\Desktop\Viação\Planilhas Entregues mês\2 - Fev 24\"/>
    </mc:Choice>
  </mc:AlternateContent>
  <xr:revisionPtr revIDLastSave="0" documentId="13_ncr:1_{38D02596-6259-4689-A6E9-1E9D491E3BF8}" xr6:coauthVersionLast="36" xr6:coauthVersionMax="47" xr10:uidLastSave="{00000000-0000-0000-0000-000000000000}"/>
  <bookViews>
    <workbookView xWindow="0" yWindow="0" windowWidth="20490" windowHeight="6945" firstSheet="8" activeTab="24" xr2:uid="{00000000-000D-0000-FFFF-FFFF00000000}"/>
  </bookViews>
  <sheets>
    <sheet name="0.Instruções" sheetId="22" r:id="rId1"/>
    <sheet name="1.1. Passageiros" sheetId="1" state="hidden" r:id="rId2"/>
    <sheet name="1.2. KM programada" sheetId="2" r:id="rId3"/>
    <sheet name="1.3 Frota Total" sheetId="3" r:id="rId4"/>
    <sheet name="1.4 Indicadores" sheetId="4" r:id="rId5"/>
    <sheet name="2.1.a Combustível" sheetId="10" r:id="rId6"/>
    <sheet name="2.1.b Veículos" sheetId="12" r:id="rId7"/>
    <sheet name="2.1.c Insumos" sheetId="5" r:id="rId8"/>
    <sheet name="2.1. Custo Variável" sheetId="13" r:id="rId9"/>
    <sheet name="2.2 Custo Fixo" sheetId="14" r:id="rId10"/>
    <sheet name="Planilha3" sheetId="48" state="hidden" r:id="rId11"/>
    <sheet name="Planilha4" sheetId="49" state="hidden" r:id="rId12"/>
    <sheet name="Planilha10" sheetId="55" state="hidden" r:id="rId13"/>
    <sheet name="Planilha5" sheetId="50" state="hidden" r:id="rId14"/>
    <sheet name="Planilha6" sheetId="51" state="hidden" r:id="rId15"/>
    <sheet name="Planilha7" sheetId="52" state="hidden" r:id="rId16"/>
    <sheet name="Planilha8" sheetId="53" state="hidden" r:id="rId17"/>
    <sheet name="Planilha9" sheetId="54" state="hidden" r:id="rId18"/>
    <sheet name="Planilha1" sheetId="46" state="hidden" r:id="rId19"/>
    <sheet name="Planilha2" sheetId="47" state="hidden" r:id="rId20"/>
    <sheet name="2.3 RPS" sheetId="20" r:id="rId21"/>
    <sheet name="4.1. Custo Pass. Transp." sheetId="25" state="hidden" r:id="rId22"/>
    <sheet name="4.2. Tarifa Pública" sheetId="44" state="hidden" r:id="rId23"/>
    <sheet name="4. Custo Total" sheetId="21" r:id="rId24"/>
    <sheet name="5. Composição CT" sheetId="40" r:id="rId25"/>
    <sheet name="A.III. Combustível" sheetId="45" r:id="rId26"/>
    <sheet name="A.IV. Lub." sheetId="27" r:id="rId27"/>
    <sheet name="A.V. Arla32" sheetId="23" r:id="rId28"/>
    <sheet name="A.VI. Rodagem" sheetId="11" r:id="rId29"/>
    <sheet name="A.VII. Peças e acessórios " sheetId="24" r:id="rId30"/>
    <sheet name="A.VIII. Custos ambientais" sheetId="26" r:id="rId31"/>
    <sheet name="A.IX.a. Deprec. veículos" sheetId="16" r:id="rId32"/>
    <sheet name="A.IX.b. Deprec. garagem equip. " sheetId="17" r:id="rId33"/>
    <sheet name="A.X.a. Remun. veículos " sheetId="18" r:id="rId34"/>
    <sheet name="A.X.b.  Remun. garagem equip." sheetId="30" r:id="rId35"/>
    <sheet name="A.X.c. Remun. Eq. Bilhet. ITS" sheetId="19" r:id="rId36"/>
    <sheet name="A.X.d. Remun. Vec. Apoio" sheetId="31" r:id="rId37"/>
    <sheet name="A.X. Remun. Infra" sheetId="32" r:id="rId38"/>
    <sheet name="A.X.e. Remun. Infraes" sheetId="36" r:id="rId39"/>
    <sheet name="A.XII. FU" sheetId="28" r:id="rId40"/>
    <sheet name="A.XIII. DMA" sheetId="29" r:id="rId41"/>
    <sheet name="A.XV. RPS (Simplificado)" sheetId="37" r:id="rId42"/>
    <sheet name="A.XV. RPS (DetalhadoI)" sheetId="38" r:id="rId43"/>
    <sheet name="A.XV. RPS (DetalhadoII)" sheetId="39" r:id="rId44"/>
    <sheet name="A.XV. RPS (Base Num)" sheetId="41" state="hidden" r:id="rId45"/>
    <sheet name="A.XVI. Despesas Gerais" sheetId="43" r:id="rId46"/>
  </sheets>
  <calcPr calcId="191029" calcMode="autoNoTable"/>
</workbook>
</file>

<file path=xl/calcChain.xml><?xml version="1.0" encoding="utf-8"?>
<calcChain xmlns="http://schemas.openxmlformats.org/spreadsheetml/2006/main">
  <c r="F40" i="5" l="1"/>
  <c r="H30" i="14" l="1"/>
  <c r="C15" i="43" l="1"/>
  <c r="F9" i="5"/>
  <c r="C7" i="43"/>
  <c r="C30" i="43"/>
  <c r="C9" i="43"/>
  <c r="C8" i="43"/>
  <c r="C23" i="43" l="1"/>
  <c r="C40" i="43"/>
  <c r="H19" i="14"/>
  <c r="C10" i="43" l="1"/>
  <c r="E7" i="13" l="1"/>
  <c r="D56" i="11"/>
  <c r="D57" i="11"/>
  <c r="D58" i="11"/>
  <c r="D59" i="11"/>
  <c r="D60" i="11"/>
  <c r="C21" i="43"/>
  <c r="F68" i="5" l="1"/>
  <c r="F43" i="18" l="1"/>
  <c r="F44" i="18"/>
  <c r="F45" i="18"/>
  <c r="F46" i="18"/>
  <c r="F47" i="18"/>
  <c r="F48" i="18"/>
  <c r="F65" i="16"/>
  <c r="F62" i="16"/>
  <c r="F63" i="16"/>
  <c r="F64" i="16"/>
  <c r="C18" i="2" l="1"/>
  <c r="D18" i="43" l="1"/>
  <c r="M61" i="40" l="1"/>
  <c r="F37" i="5" l="1"/>
  <c r="F36" i="5"/>
  <c r="F34" i="5"/>
  <c r="F56" i="5" l="1"/>
  <c r="D8" i="43" l="1"/>
  <c r="D10" i="43"/>
  <c r="E17" i="2"/>
  <c r="E18" i="2"/>
  <c r="E19" i="2" s="1"/>
  <c r="F84" i="5"/>
  <c r="D40" i="43"/>
  <c r="C27" i="43"/>
  <c r="J9" i="40"/>
  <c r="H9" i="21"/>
  <c r="D36" i="43"/>
  <c r="D25" i="43"/>
  <c r="D7" i="43"/>
  <c r="F17" i="2"/>
  <c r="F18" i="2" s="1"/>
  <c r="D29" i="43"/>
  <c r="E9" i="4"/>
  <c r="E20" i="4" s="1"/>
  <c r="D46" i="11"/>
  <c r="F51" i="12" s="1"/>
  <c r="D45" i="11"/>
  <c r="D5" i="43"/>
  <c r="D9" i="43"/>
  <c r="D14" i="43"/>
  <c r="D15" i="43"/>
  <c r="D17" i="43"/>
  <c r="D19" i="43"/>
  <c r="D30" i="43"/>
  <c r="D31" i="43"/>
  <c r="D32" i="43"/>
  <c r="D33" i="43"/>
  <c r="D35" i="43"/>
  <c r="D37" i="43"/>
  <c r="D38" i="43"/>
  <c r="D39" i="43"/>
  <c r="D41" i="43"/>
  <c r="D42" i="43"/>
  <c r="D43" i="43"/>
  <c r="H24" i="14"/>
  <c r="J19" i="40" s="1"/>
  <c r="F29" i="12"/>
  <c r="D29" i="12"/>
  <c r="P16" i="2"/>
  <c r="O16" i="2"/>
  <c r="C17" i="2"/>
  <c r="C19" i="2" s="1"/>
  <c r="N18" i="2"/>
  <c r="E8" i="13"/>
  <c r="J10" i="40" s="1"/>
  <c r="K10" i="40" s="1"/>
  <c r="O111" i="2"/>
  <c r="H5" i="14"/>
  <c r="J26" i="40" s="1"/>
  <c r="E19" i="16"/>
  <c r="E20" i="16"/>
  <c r="E21" i="16"/>
  <c r="E22" i="16"/>
  <c r="E23" i="16"/>
  <c r="J123" i="16" s="1"/>
  <c r="F123" i="16" s="1"/>
  <c r="E24" i="16"/>
  <c r="E25" i="16"/>
  <c r="E26" i="16"/>
  <c r="F61" i="16"/>
  <c r="F132" i="16" s="1"/>
  <c r="C52" i="1"/>
  <c r="E6" i="4" s="1"/>
  <c r="E8" i="4" s="1"/>
  <c r="N16" i="2"/>
  <c r="F52" i="1"/>
  <c r="G52" i="1"/>
  <c r="K52" i="1"/>
  <c r="C40" i="37"/>
  <c r="S17" i="37"/>
  <c r="T17" i="37" s="1"/>
  <c r="S18" i="37"/>
  <c r="T18" i="37" s="1"/>
  <c r="S19" i="37"/>
  <c r="T19" i="37" s="1"/>
  <c r="S20" i="37"/>
  <c r="T20" i="37" s="1"/>
  <c r="S21" i="37"/>
  <c r="T21" i="37" s="1"/>
  <c r="S22" i="37"/>
  <c r="T22" i="37" s="1"/>
  <c r="S23" i="37"/>
  <c r="T23" i="37" s="1"/>
  <c r="S24" i="37"/>
  <c r="T24" i="37" s="1"/>
  <c r="S25" i="37"/>
  <c r="T25" i="37" s="1"/>
  <c r="D5" i="39"/>
  <c r="D6" i="39"/>
  <c r="D7" i="39"/>
  <c r="D8" i="39"/>
  <c r="D9" i="39"/>
  <c r="D10" i="39"/>
  <c r="D11" i="39"/>
  <c r="D12" i="39"/>
  <c r="D13" i="39"/>
  <c r="D14" i="39"/>
  <c r="D15" i="39"/>
  <c r="D16" i="39"/>
  <c r="D17" i="39"/>
  <c r="D18" i="39"/>
  <c r="D19" i="39"/>
  <c r="D20" i="39"/>
  <c r="D21" i="39"/>
  <c r="J29" i="40"/>
  <c r="K29" i="40" s="1"/>
  <c r="D11" i="1"/>
  <c r="H5" i="25" s="1"/>
  <c r="H8" i="41"/>
  <c r="H11" i="41"/>
  <c r="H13" i="41"/>
  <c r="H14" i="41"/>
  <c r="H18" i="41"/>
  <c r="F8" i="41"/>
  <c r="C10" i="39" s="1"/>
  <c r="E10" i="39" s="1"/>
  <c r="F10" i="39" s="1"/>
  <c r="F11" i="41"/>
  <c r="C13" i="39" s="1"/>
  <c r="F13" i="41"/>
  <c r="C15" i="39" s="1"/>
  <c r="E15" i="39" s="1"/>
  <c r="F15" i="39" s="1"/>
  <c r="F14" i="41"/>
  <c r="C16" i="39" s="1"/>
  <c r="E16" i="39" s="1"/>
  <c r="F16" i="39" s="1"/>
  <c r="F18" i="41"/>
  <c r="C20" i="39" s="1"/>
  <c r="E20" i="39" s="1"/>
  <c r="F20" i="39" s="1"/>
  <c r="J107" i="16"/>
  <c r="C44" i="10"/>
  <c r="C66" i="10"/>
  <c r="J173" i="16"/>
  <c r="H173" i="16"/>
  <c r="J152" i="16"/>
  <c r="J154" i="16"/>
  <c r="J157" i="16"/>
  <c r="J158" i="16"/>
  <c r="J159" i="16"/>
  <c r="F20" i="16"/>
  <c r="J138" i="16" s="1"/>
  <c r="F138" i="16" s="1"/>
  <c r="F21" i="16"/>
  <c r="J139" i="16" s="1"/>
  <c r="F139" i="16" s="1"/>
  <c r="F210" i="16" s="1"/>
  <c r="F22" i="16"/>
  <c r="J140" i="16" s="1"/>
  <c r="F23" i="16"/>
  <c r="F24" i="16"/>
  <c r="F25" i="16"/>
  <c r="J143" i="16"/>
  <c r="F26" i="16"/>
  <c r="J144" i="16"/>
  <c r="F27" i="16"/>
  <c r="F28" i="16"/>
  <c r="F29" i="16"/>
  <c r="J147" i="16" s="1"/>
  <c r="F147" i="16" s="1"/>
  <c r="F19" i="16"/>
  <c r="J120" i="16"/>
  <c r="J133" i="16"/>
  <c r="F133" i="16" s="1"/>
  <c r="J126" i="16"/>
  <c r="E27" i="16"/>
  <c r="J136" i="16"/>
  <c r="J114" i="16"/>
  <c r="J116" i="16"/>
  <c r="J117" i="16"/>
  <c r="D55" i="11"/>
  <c r="D54" i="11"/>
  <c r="E32" i="11"/>
  <c r="H7" i="44"/>
  <c r="F84" i="18"/>
  <c r="G84" i="18"/>
  <c r="H84" i="18"/>
  <c r="I84" i="18"/>
  <c r="F85" i="18"/>
  <c r="G85" i="18"/>
  <c r="H85" i="18"/>
  <c r="I85" i="18"/>
  <c r="F71" i="18"/>
  <c r="G71" i="18"/>
  <c r="H71" i="18"/>
  <c r="I71" i="18"/>
  <c r="F72" i="18"/>
  <c r="G72" i="18"/>
  <c r="H72" i="18"/>
  <c r="I72" i="18"/>
  <c r="G48" i="18"/>
  <c r="H48" i="18"/>
  <c r="I48" i="18"/>
  <c r="F39" i="18"/>
  <c r="G39" i="18"/>
  <c r="H39" i="18"/>
  <c r="I39" i="18"/>
  <c r="F101" i="16"/>
  <c r="G101" i="16"/>
  <c r="H101" i="16"/>
  <c r="I101" i="16"/>
  <c r="F102" i="16"/>
  <c r="G102" i="16"/>
  <c r="H102" i="16"/>
  <c r="I102" i="16"/>
  <c r="F88" i="16"/>
  <c r="F159" i="16"/>
  <c r="G88" i="16"/>
  <c r="G159" i="16" s="1"/>
  <c r="H88" i="16"/>
  <c r="H159" i="16" s="1"/>
  <c r="H230" i="16" s="1"/>
  <c r="I88" i="16"/>
  <c r="F89" i="16"/>
  <c r="G89" i="16"/>
  <c r="H89" i="16"/>
  <c r="I89" i="16"/>
  <c r="G65" i="16"/>
  <c r="H65" i="16"/>
  <c r="H136" i="16" s="1"/>
  <c r="I65" i="16"/>
  <c r="G56" i="16"/>
  <c r="H56" i="16"/>
  <c r="I56" i="16"/>
  <c r="F56" i="16"/>
  <c r="H32" i="14"/>
  <c r="J43" i="40" s="1"/>
  <c r="H27" i="14"/>
  <c r="J22" i="40" s="1"/>
  <c r="L22" i="40" s="1"/>
  <c r="D26" i="12"/>
  <c r="C43" i="10"/>
  <c r="C65" i="10"/>
  <c r="C45" i="43"/>
  <c r="H26" i="14"/>
  <c r="J20" i="40" s="1"/>
  <c r="J21" i="40"/>
  <c r="L21" i="40" s="1"/>
  <c r="J28" i="40"/>
  <c r="L28" i="40" s="1"/>
  <c r="H17" i="17"/>
  <c r="H13" i="17"/>
  <c r="D32" i="37"/>
  <c r="C32" i="37"/>
  <c r="B32" i="37"/>
  <c r="F36" i="16"/>
  <c r="F44" i="10"/>
  <c r="F66" i="10"/>
  <c r="F45" i="10"/>
  <c r="F67" i="10" s="1"/>
  <c r="F46" i="10"/>
  <c r="F68" i="10"/>
  <c r="F47" i="10"/>
  <c r="F69" i="10"/>
  <c r="F48" i="10"/>
  <c r="F70" i="10"/>
  <c r="F49" i="10"/>
  <c r="F71" i="10" s="1"/>
  <c r="F43" i="10"/>
  <c r="F65" i="10"/>
  <c r="E44" i="10"/>
  <c r="E66" i="10"/>
  <c r="E45" i="10"/>
  <c r="E67" i="10"/>
  <c r="E47" i="10"/>
  <c r="E69" i="10" s="1"/>
  <c r="E48" i="10"/>
  <c r="E70" i="10"/>
  <c r="E49" i="10"/>
  <c r="E71" i="10"/>
  <c r="E43" i="10"/>
  <c r="E65" i="10"/>
  <c r="D44" i="10"/>
  <c r="D66" i="10" s="1"/>
  <c r="D45" i="10"/>
  <c r="D67" i="10"/>
  <c r="D47" i="10"/>
  <c r="D69" i="10"/>
  <c r="D48" i="10"/>
  <c r="D70" i="10"/>
  <c r="D49" i="10"/>
  <c r="D71" i="10" s="1"/>
  <c r="D43" i="10"/>
  <c r="D65" i="10"/>
  <c r="C45" i="10"/>
  <c r="C67" i="10"/>
  <c r="C47" i="10"/>
  <c r="C69" i="10"/>
  <c r="C48" i="10"/>
  <c r="C70" i="10" s="1"/>
  <c r="C49" i="10"/>
  <c r="C71" i="10"/>
  <c r="E54" i="12"/>
  <c r="E53" i="12"/>
  <c r="E48" i="12"/>
  <c r="G178" i="16" s="1"/>
  <c r="F48" i="12"/>
  <c r="G48" i="12"/>
  <c r="I180" i="16" s="1"/>
  <c r="E50" i="12"/>
  <c r="G194" i="16" s="1"/>
  <c r="G50" i="12"/>
  <c r="I191" i="16" s="1"/>
  <c r="E51" i="12"/>
  <c r="G206" i="16" s="1"/>
  <c r="G51" i="12"/>
  <c r="I201" i="16" s="1"/>
  <c r="E52" i="12"/>
  <c r="G212" i="16" s="1"/>
  <c r="G52" i="12"/>
  <c r="I213" i="16" s="1"/>
  <c r="E49" i="12"/>
  <c r="G49" i="12"/>
  <c r="I185" i="16" s="1"/>
  <c r="D49" i="11"/>
  <c r="G54" i="12"/>
  <c r="F54" i="12"/>
  <c r="D48" i="11"/>
  <c r="G53" i="12"/>
  <c r="F53" i="12"/>
  <c r="D47" i="11"/>
  <c r="F52" i="12"/>
  <c r="D50" i="12"/>
  <c r="D44" i="11"/>
  <c r="D49" i="12"/>
  <c r="F49" i="12"/>
  <c r="D43" i="11"/>
  <c r="D48" i="12"/>
  <c r="E4" i="32"/>
  <c r="E5" i="32" s="1"/>
  <c r="D10" i="32" s="1"/>
  <c r="I83" i="18"/>
  <c r="H83" i="18"/>
  <c r="G83" i="18"/>
  <c r="F83" i="18"/>
  <c r="I82" i="18"/>
  <c r="H82" i="18"/>
  <c r="G82" i="18"/>
  <c r="F82" i="18"/>
  <c r="I81" i="18"/>
  <c r="H81" i="18"/>
  <c r="G81" i="18"/>
  <c r="F81" i="18"/>
  <c r="I80" i="18"/>
  <c r="H80" i="18"/>
  <c r="G80" i="18"/>
  <c r="F80" i="18"/>
  <c r="I79" i="18"/>
  <c r="H79" i="18"/>
  <c r="G79" i="18"/>
  <c r="F79" i="18"/>
  <c r="I78" i="18"/>
  <c r="H78" i="18"/>
  <c r="G78" i="18"/>
  <c r="F78" i="18"/>
  <c r="I77" i="18"/>
  <c r="H77" i="18"/>
  <c r="G77" i="18"/>
  <c r="F77" i="18"/>
  <c r="I76" i="18"/>
  <c r="H76" i="18"/>
  <c r="G76" i="18"/>
  <c r="F76" i="18"/>
  <c r="I75" i="18"/>
  <c r="H75" i="18"/>
  <c r="G75" i="18"/>
  <c r="F75" i="18"/>
  <c r="I74" i="18"/>
  <c r="H74" i="18"/>
  <c r="G74" i="18"/>
  <c r="F74" i="18"/>
  <c r="I73" i="18"/>
  <c r="I145" i="18" s="1"/>
  <c r="H73" i="18"/>
  <c r="H145" i="18" s="1"/>
  <c r="G73" i="18"/>
  <c r="G145" i="18"/>
  <c r="F73" i="18"/>
  <c r="F145" i="18"/>
  <c r="I70" i="18"/>
  <c r="H70" i="18"/>
  <c r="G70" i="18"/>
  <c r="F70" i="18"/>
  <c r="I69" i="18"/>
  <c r="H69" i="18"/>
  <c r="G69" i="18"/>
  <c r="F69" i="18"/>
  <c r="I68" i="18"/>
  <c r="H68" i="18"/>
  <c r="G68" i="18"/>
  <c r="F68" i="18"/>
  <c r="I67" i="18"/>
  <c r="H67" i="18"/>
  <c r="G67" i="18"/>
  <c r="F67" i="18"/>
  <c r="I66" i="18"/>
  <c r="H66" i="18"/>
  <c r="G66" i="18"/>
  <c r="F66" i="18"/>
  <c r="I65" i="18"/>
  <c r="H65" i="18"/>
  <c r="G65" i="18"/>
  <c r="F65" i="18"/>
  <c r="I64" i="18"/>
  <c r="H64" i="18"/>
  <c r="G64" i="18"/>
  <c r="F64" i="18"/>
  <c r="I63" i="18"/>
  <c r="H63" i="18"/>
  <c r="G63" i="18"/>
  <c r="F63" i="18"/>
  <c r="I62" i="18"/>
  <c r="H62" i="18"/>
  <c r="G62" i="18"/>
  <c r="F62" i="18"/>
  <c r="I61" i="18"/>
  <c r="H61" i="18"/>
  <c r="G61" i="18"/>
  <c r="F61" i="18"/>
  <c r="I60" i="18"/>
  <c r="I132" i="18" s="1"/>
  <c r="H60" i="18"/>
  <c r="H132" i="18" s="1"/>
  <c r="G60" i="18"/>
  <c r="G132" i="18"/>
  <c r="F60" i="18"/>
  <c r="F132" i="18"/>
  <c r="I59" i="18"/>
  <c r="H59" i="18"/>
  <c r="G59" i="18"/>
  <c r="F59" i="18"/>
  <c r="I58" i="18"/>
  <c r="H58" i="18"/>
  <c r="H130" i="18" s="1"/>
  <c r="G58" i="18"/>
  <c r="F58" i="18"/>
  <c r="I57" i="18"/>
  <c r="I129" i="18" s="1"/>
  <c r="H57" i="18"/>
  <c r="G57" i="18"/>
  <c r="F57" i="18"/>
  <c r="I56" i="18"/>
  <c r="I128" i="18" s="1"/>
  <c r="H56" i="18"/>
  <c r="G56" i="18"/>
  <c r="F56" i="18"/>
  <c r="I55" i="18"/>
  <c r="I127" i="18"/>
  <c r="H55" i="18"/>
  <c r="G55" i="18"/>
  <c r="F55" i="18"/>
  <c r="F127" i="18" s="1"/>
  <c r="I54" i="18"/>
  <c r="H54" i="18"/>
  <c r="G54" i="18"/>
  <c r="F54" i="18"/>
  <c r="I53" i="18"/>
  <c r="I125" i="18" s="1"/>
  <c r="H53" i="18"/>
  <c r="G53" i="18"/>
  <c r="F53" i="18"/>
  <c r="I52" i="18"/>
  <c r="H52" i="18"/>
  <c r="H124" i="18" s="1"/>
  <c r="G52" i="18"/>
  <c r="G124" i="18" s="1"/>
  <c r="F52" i="18"/>
  <c r="F124" i="18"/>
  <c r="I51" i="18"/>
  <c r="H51" i="18"/>
  <c r="G51" i="18"/>
  <c r="F51" i="18"/>
  <c r="I50" i="18"/>
  <c r="I122" i="18" s="1"/>
  <c r="H50" i="18"/>
  <c r="G50" i="18"/>
  <c r="F50" i="18"/>
  <c r="F122" i="18" s="1"/>
  <c r="I49" i="18"/>
  <c r="I121" i="18"/>
  <c r="H49" i="18"/>
  <c r="H121" i="18" s="1"/>
  <c r="G49" i="18"/>
  <c r="G121" i="18" s="1"/>
  <c r="F49" i="18"/>
  <c r="F121" i="18"/>
  <c r="I47" i="18"/>
  <c r="H47" i="18"/>
  <c r="G47" i="18"/>
  <c r="F119" i="18"/>
  <c r="I46" i="18"/>
  <c r="I118" i="18" s="1"/>
  <c r="H46" i="18"/>
  <c r="G46" i="18"/>
  <c r="I45" i="18"/>
  <c r="H45" i="18"/>
  <c r="G45" i="18"/>
  <c r="I44" i="18"/>
  <c r="H44" i="18"/>
  <c r="G44" i="18"/>
  <c r="F116" i="18"/>
  <c r="I43" i="18"/>
  <c r="H43" i="18"/>
  <c r="H115" i="18" s="1"/>
  <c r="G43" i="18"/>
  <c r="F115" i="18"/>
  <c r="I42" i="18"/>
  <c r="H42" i="18"/>
  <c r="G42" i="18"/>
  <c r="F42" i="18"/>
  <c r="I41" i="18"/>
  <c r="I113" i="18" s="1"/>
  <c r="H41" i="18"/>
  <c r="G41" i="18"/>
  <c r="F41" i="18"/>
  <c r="F113" i="18" s="1"/>
  <c r="I40" i="18"/>
  <c r="I112" i="18"/>
  <c r="H40" i="18"/>
  <c r="H112" i="18" s="1"/>
  <c r="G40" i="18"/>
  <c r="G112" i="18" s="1"/>
  <c r="F40" i="18"/>
  <c r="F112" i="18"/>
  <c r="I38" i="18"/>
  <c r="H38" i="18"/>
  <c r="G38" i="18"/>
  <c r="F38" i="18"/>
  <c r="I37" i="18"/>
  <c r="I109" i="18" s="1"/>
  <c r="H37" i="18"/>
  <c r="G37" i="18"/>
  <c r="F37" i="18"/>
  <c r="F109" i="18" s="1"/>
  <c r="I36" i="18"/>
  <c r="H36" i="18"/>
  <c r="G36" i="18"/>
  <c r="F36" i="18"/>
  <c r="I35" i="18"/>
  <c r="H35" i="18"/>
  <c r="G35" i="18"/>
  <c r="F35" i="18"/>
  <c r="F107" i="18" s="1"/>
  <c r="I34" i="18"/>
  <c r="H34" i="18"/>
  <c r="G34" i="18"/>
  <c r="F34" i="18"/>
  <c r="I33" i="18"/>
  <c r="I105" i="18" s="1"/>
  <c r="H33" i="18"/>
  <c r="G33" i="18"/>
  <c r="F33" i="18"/>
  <c r="I32" i="18"/>
  <c r="H32" i="18"/>
  <c r="G32" i="18"/>
  <c r="F32" i="18"/>
  <c r="I31" i="18"/>
  <c r="I103" i="18" s="1"/>
  <c r="H31" i="18"/>
  <c r="H103" i="18"/>
  <c r="G31" i="18"/>
  <c r="G103" i="18"/>
  <c r="F31" i="18"/>
  <c r="F103" i="18" s="1"/>
  <c r="I30" i="18"/>
  <c r="H30" i="18"/>
  <c r="G30" i="18"/>
  <c r="F30" i="18"/>
  <c r="I29" i="18"/>
  <c r="H29" i="18"/>
  <c r="G29" i="18"/>
  <c r="F29" i="18"/>
  <c r="I28" i="18"/>
  <c r="I100" i="18" s="1"/>
  <c r="H28" i="18"/>
  <c r="G28" i="18"/>
  <c r="F28" i="18"/>
  <c r="I27" i="18"/>
  <c r="H27" i="18"/>
  <c r="G27" i="18"/>
  <c r="F27" i="18"/>
  <c r="I26" i="18"/>
  <c r="I98" i="18" s="1"/>
  <c r="H26" i="18"/>
  <c r="G26" i="18"/>
  <c r="F26" i="18"/>
  <c r="I25" i="18"/>
  <c r="I97" i="18"/>
  <c r="H25" i="18"/>
  <c r="H97" i="18" s="1"/>
  <c r="G25" i="18"/>
  <c r="G97" i="18" s="1"/>
  <c r="F25" i="18"/>
  <c r="F97" i="18"/>
  <c r="I24" i="18"/>
  <c r="H24" i="18"/>
  <c r="G24" i="18"/>
  <c r="F24" i="18"/>
  <c r="I23" i="18"/>
  <c r="I95" i="18" s="1"/>
  <c r="H23" i="18"/>
  <c r="G23" i="18"/>
  <c r="F23" i="18"/>
  <c r="F95" i="18" s="1"/>
  <c r="I22" i="18"/>
  <c r="H22" i="18"/>
  <c r="G22" i="18"/>
  <c r="F22" i="18"/>
  <c r="I21" i="18"/>
  <c r="I93" i="18" s="1"/>
  <c r="H21" i="18"/>
  <c r="G21" i="18"/>
  <c r="F21" i="18"/>
  <c r="I20" i="18"/>
  <c r="H20" i="18"/>
  <c r="G20" i="18"/>
  <c r="F20" i="18"/>
  <c r="I19" i="18"/>
  <c r="I91" i="18" s="1"/>
  <c r="H19" i="18"/>
  <c r="H91" i="18"/>
  <c r="G19" i="18"/>
  <c r="G91" i="18"/>
  <c r="F19" i="18"/>
  <c r="F91" i="18" s="1"/>
  <c r="I100" i="16"/>
  <c r="H100" i="16"/>
  <c r="G100" i="16"/>
  <c r="F100" i="16"/>
  <c r="I99" i="16"/>
  <c r="H99" i="16"/>
  <c r="G99" i="16"/>
  <c r="F99" i="16"/>
  <c r="I98" i="16"/>
  <c r="I169" i="16" s="1"/>
  <c r="I240" i="16" s="1"/>
  <c r="H98" i="16"/>
  <c r="G98" i="16"/>
  <c r="F98" i="16"/>
  <c r="I97" i="16"/>
  <c r="H97" i="16"/>
  <c r="G97" i="16"/>
  <c r="F97" i="16"/>
  <c r="I96" i="16"/>
  <c r="H96" i="16"/>
  <c r="G96" i="16"/>
  <c r="F96" i="16"/>
  <c r="F167" i="16" s="1"/>
  <c r="F238" i="16" s="1"/>
  <c r="I95" i="16"/>
  <c r="H95" i="16"/>
  <c r="G95" i="16"/>
  <c r="F95" i="16"/>
  <c r="I94" i="16"/>
  <c r="H94" i="16"/>
  <c r="G94" i="16"/>
  <c r="F94" i="16"/>
  <c r="I93" i="16"/>
  <c r="H93" i="16"/>
  <c r="G93" i="16"/>
  <c r="F93" i="16"/>
  <c r="I92" i="16"/>
  <c r="I163" i="16" s="1"/>
  <c r="I234" i="16" s="1"/>
  <c r="H92" i="16"/>
  <c r="G92" i="16"/>
  <c r="F92" i="16"/>
  <c r="F163" i="16" s="1"/>
  <c r="I91" i="16"/>
  <c r="H91" i="16"/>
  <c r="G91" i="16"/>
  <c r="F91" i="16"/>
  <c r="I90" i="16"/>
  <c r="I161" i="16" s="1"/>
  <c r="I232" i="16" s="1"/>
  <c r="H90" i="16"/>
  <c r="G90" i="16"/>
  <c r="F90" i="16"/>
  <c r="F161" i="16" s="1"/>
  <c r="F232" i="16" s="1"/>
  <c r="I87" i="16"/>
  <c r="H87" i="16"/>
  <c r="G87" i="16"/>
  <c r="G158" i="16" s="1"/>
  <c r="G229" i="16" s="1"/>
  <c r="F87" i="16"/>
  <c r="I86" i="16"/>
  <c r="I157" i="16" s="1"/>
  <c r="H86" i="16"/>
  <c r="G86" i="16"/>
  <c r="G157" i="16" s="1"/>
  <c r="G228" i="16" s="1"/>
  <c r="F86" i="16"/>
  <c r="F157" i="16" s="1"/>
  <c r="I85" i="16"/>
  <c r="H85" i="16"/>
  <c r="G85" i="16"/>
  <c r="F85" i="16"/>
  <c r="F156" i="16" s="1"/>
  <c r="I84" i="16"/>
  <c r="H84" i="16"/>
  <c r="G84" i="16"/>
  <c r="F84" i="16"/>
  <c r="I83" i="16"/>
  <c r="H83" i="16"/>
  <c r="G83" i="16"/>
  <c r="F83" i="16"/>
  <c r="F154" i="16" s="1"/>
  <c r="I82" i="16"/>
  <c r="H82" i="16"/>
  <c r="G82" i="16"/>
  <c r="F82" i="16"/>
  <c r="I81" i="16"/>
  <c r="H81" i="16"/>
  <c r="G81" i="16"/>
  <c r="F81" i="16"/>
  <c r="I80" i="16"/>
  <c r="H80" i="16"/>
  <c r="G80" i="16"/>
  <c r="G151" i="16" s="1"/>
  <c r="G222" i="16" s="1"/>
  <c r="F80" i="16"/>
  <c r="I79" i="16"/>
  <c r="H79" i="16"/>
  <c r="G79" i="16"/>
  <c r="F79" i="16"/>
  <c r="I78" i="16"/>
  <c r="H78" i="16"/>
  <c r="G78" i="16"/>
  <c r="F78" i="16"/>
  <c r="I77" i="16"/>
  <c r="H77" i="16"/>
  <c r="G77" i="16"/>
  <c r="F77" i="16"/>
  <c r="I76" i="16"/>
  <c r="H76" i="16"/>
  <c r="H147" i="16" s="1"/>
  <c r="G76" i="16"/>
  <c r="F76" i="16"/>
  <c r="I75" i="16"/>
  <c r="H75" i="16"/>
  <c r="G75" i="16"/>
  <c r="F75" i="16"/>
  <c r="F146" i="16" s="1"/>
  <c r="I74" i="16"/>
  <c r="H74" i="16"/>
  <c r="H145" i="16" s="1"/>
  <c r="G74" i="16"/>
  <c r="F74" i="16"/>
  <c r="I73" i="16"/>
  <c r="H73" i="16"/>
  <c r="H144" i="16"/>
  <c r="G73" i="16"/>
  <c r="F73" i="16"/>
  <c r="F144" i="16"/>
  <c r="I72" i="16"/>
  <c r="H72" i="16"/>
  <c r="G72" i="16"/>
  <c r="F72" i="16"/>
  <c r="F143" i="16"/>
  <c r="I71" i="16"/>
  <c r="H71" i="16"/>
  <c r="H142" i="16" s="1"/>
  <c r="H213" i="16" s="1"/>
  <c r="G71" i="16"/>
  <c r="F71" i="16"/>
  <c r="F142" i="16" s="1"/>
  <c r="I70" i="16"/>
  <c r="H70" i="16"/>
  <c r="G70" i="16"/>
  <c r="F70" i="16"/>
  <c r="I69" i="16"/>
  <c r="H69" i="16"/>
  <c r="H140" i="16" s="1"/>
  <c r="G69" i="16"/>
  <c r="F69" i="16"/>
  <c r="I68" i="16"/>
  <c r="H68" i="16"/>
  <c r="G68" i="16"/>
  <c r="F68" i="16"/>
  <c r="I67" i="16"/>
  <c r="H67" i="16"/>
  <c r="H138" i="16" s="1"/>
  <c r="G67" i="16"/>
  <c r="F67" i="16"/>
  <c r="I66" i="16"/>
  <c r="H66" i="16"/>
  <c r="H137" i="16"/>
  <c r="G66" i="16"/>
  <c r="F66" i="16"/>
  <c r="I64" i="16"/>
  <c r="H64" i="16"/>
  <c r="G64" i="16"/>
  <c r="I63" i="16"/>
  <c r="H63" i="16"/>
  <c r="G63" i="16"/>
  <c r="I62" i="16"/>
  <c r="H62" i="16"/>
  <c r="H133" i="16" s="1"/>
  <c r="G62" i="16"/>
  <c r="I61" i="16"/>
  <c r="H61" i="16"/>
  <c r="H132" i="16" s="1"/>
  <c r="G61" i="16"/>
  <c r="I60" i="16"/>
  <c r="H60" i="16"/>
  <c r="G60" i="16"/>
  <c r="F60" i="16"/>
  <c r="I59" i="16"/>
  <c r="G59" i="16"/>
  <c r="I58" i="16"/>
  <c r="H58" i="16"/>
  <c r="G58" i="16"/>
  <c r="F58" i="16"/>
  <c r="F129" i="16" s="1"/>
  <c r="I57" i="16"/>
  <c r="H57" i="16"/>
  <c r="G57" i="16"/>
  <c r="F57" i="16"/>
  <c r="I55" i="16"/>
  <c r="H55" i="16"/>
  <c r="G55" i="16"/>
  <c r="F55" i="16"/>
  <c r="F126" i="16" s="1"/>
  <c r="I54" i="16"/>
  <c r="H54" i="16"/>
  <c r="G54" i="16"/>
  <c r="F54" i="16"/>
  <c r="I53" i="16"/>
  <c r="H53" i="16"/>
  <c r="G53" i="16"/>
  <c r="F53" i="16"/>
  <c r="F124" i="16" s="1"/>
  <c r="F195" i="16" s="1"/>
  <c r="I52" i="16"/>
  <c r="H52" i="16"/>
  <c r="H123" i="16" s="1"/>
  <c r="G52" i="16"/>
  <c r="F52" i="16"/>
  <c r="I51" i="16"/>
  <c r="H51" i="16"/>
  <c r="G51" i="16"/>
  <c r="F51" i="16"/>
  <c r="F122" i="16" s="1"/>
  <c r="I50" i="16"/>
  <c r="H50" i="16"/>
  <c r="G50" i="16"/>
  <c r="F50" i="16"/>
  <c r="I49" i="16"/>
  <c r="H49" i="16"/>
  <c r="G49" i="16"/>
  <c r="F49" i="16"/>
  <c r="F120" i="16" s="1"/>
  <c r="I48" i="16"/>
  <c r="H48" i="16"/>
  <c r="H119" i="16" s="1"/>
  <c r="G48" i="16"/>
  <c r="F48" i="16"/>
  <c r="I47" i="16"/>
  <c r="H47" i="16"/>
  <c r="G47" i="16"/>
  <c r="F47" i="16"/>
  <c r="I46" i="16"/>
  <c r="H46" i="16"/>
  <c r="G46" i="16"/>
  <c r="F46" i="16"/>
  <c r="I45" i="16"/>
  <c r="H45" i="16"/>
  <c r="G45" i="16"/>
  <c r="F45" i="16"/>
  <c r="I44" i="16"/>
  <c r="H44" i="16"/>
  <c r="G44" i="16"/>
  <c r="F44" i="16"/>
  <c r="I43" i="16"/>
  <c r="H43" i="16"/>
  <c r="G43" i="16"/>
  <c r="F43" i="16"/>
  <c r="I42" i="16"/>
  <c r="H42" i="16"/>
  <c r="G42" i="16"/>
  <c r="F42" i="16"/>
  <c r="I41" i="16"/>
  <c r="H41" i="16"/>
  <c r="G41" i="16"/>
  <c r="F41" i="16"/>
  <c r="I40" i="16"/>
  <c r="H40" i="16"/>
  <c r="G40" i="16"/>
  <c r="F40" i="16"/>
  <c r="I39" i="16"/>
  <c r="H39" i="16"/>
  <c r="G39" i="16"/>
  <c r="F39" i="16"/>
  <c r="F110" i="16" s="1"/>
  <c r="I38" i="16"/>
  <c r="H38" i="16"/>
  <c r="G38" i="16"/>
  <c r="F38" i="16"/>
  <c r="I37" i="16"/>
  <c r="H37" i="16"/>
  <c r="G37" i="16"/>
  <c r="F37" i="16"/>
  <c r="F108" i="16" s="1"/>
  <c r="I36" i="16"/>
  <c r="H36" i="16"/>
  <c r="G36" i="16"/>
  <c r="E38" i="11"/>
  <c r="E37" i="11"/>
  <c r="E36" i="11"/>
  <c r="E58" i="11" s="1"/>
  <c r="E35" i="11"/>
  <c r="E34" i="11"/>
  <c r="E33" i="11"/>
  <c r="L52" i="1"/>
  <c r="J52" i="1"/>
  <c r="H31" i="14"/>
  <c r="J42" i="40" s="1"/>
  <c r="J41" i="40"/>
  <c r="K41" i="40" s="1"/>
  <c r="E26" i="12"/>
  <c r="E37" i="12"/>
  <c r="F26" i="12"/>
  <c r="F37" i="12"/>
  <c r="G26" i="12"/>
  <c r="G37" i="12" s="1"/>
  <c r="E27" i="12"/>
  <c r="E38" i="12" s="1"/>
  <c r="F27" i="12"/>
  <c r="F38" i="12"/>
  <c r="G27" i="12"/>
  <c r="G38" i="12"/>
  <c r="E28" i="12"/>
  <c r="E39" i="12" s="1"/>
  <c r="F28" i="12"/>
  <c r="F39" i="12" s="1"/>
  <c r="G28" i="12"/>
  <c r="G39" i="12"/>
  <c r="E29" i="12"/>
  <c r="E40" i="12"/>
  <c r="G29" i="12"/>
  <c r="G40" i="12" s="1"/>
  <c r="E30" i="12"/>
  <c r="E41" i="12" s="1"/>
  <c r="F30" i="12"/>
  <c r="F41" i="12"/>
  <c r="G30" i="12"/>
  <c r="G41" i="12"/>
  <c r="E31" i="12"/>
  <c r="E42" i="12" s="1"/>
  <c r="F31" i="12"/>
  <c r="F42" i="12" s="1"/>
  <c r="G31" i="12"/>
  <c r="G42" i="12"/>
  <c r="E32" i="12"/>
  <c r="E43" i="12"/>
  <c r="F32" i="12"/>
  <c r="F43" i="12" s="1"/>
  <c r="G32" i="12"/>
  <c r="G43" i="12" s="1"/>
  <c r="D27" i="12"/>
  <c r="D38" i="12"/>
  <c r="D28" i="12"/>
  <c r="D39" i="12"/>
  <c r="D30" i="12"/>
  <c r="D41" i="12" s="1"/>
  <c r="D31" i="12"/>
  <c r="D42" i="12" s="1"/>
  <c r="D32" i="12"/>
  <c r="D43" i="12"/>
  <c r="N111" i="2"/>
  <c r="Q111" i="2"/>
  <c r="P111" i="2"/>
  <c r="D52" i="1"/>
  <c r="E52" i="1"/>
  <c r="I52" i="1"/>
  <c r="H52" i="1"/>
  <c r="D53" i="12"/>
  <c r="D54" i="12"/>
  <c r="J27" i="18"/>
  <c r="I99" i="18" s="1"/>
  <c r="H99" i="18"/>
  <c r="J50" i="18"/>
  <c r="J51" i="18"/>
  <c r="H123" i="18" s="1"/>
  <c r="F123" i="18"/>
  <c r="J20" i="18"/>
  <c r="J52" i="18"/>
  <c r="J74" i="18"/>
  <c r="F50" i="12"/>
  <c r="J156" i="16"/>
  <c r="J169" i="16"/>
  <c r="J165" i="16"/>
  <c r="H165" i="16" s="1"/>
  <c r="D52" i="12"/>
  <c r="J137" i="16"/>
  <c r="J53" i="18"/>
  <c r="H125" i="18" s="1"/>
  <c r="J129" i="16"/>
  <c r="J29" i="18"/>
  <c r="G101" i="18"/>
  <c r="J110" i="16"/>
  <c r="J119" i="16"/>
  <c r="F119" i="16" s="1"/>
  <c r="F190" i="16" s="1"/>
  <c r="J124" i="16"/>
  <c r="J172" i="16"/>
  <c r="F172" i="16"/>
  <c r="J170" i="16"/>
  <c r="J125" i="16"/>
  <c r="H125" i="16"/>
  <c r="J134" i="16"/>
  <c r="J150" i="16"/>
  <c r="I150" i="16"/>
  <c r="J163" i="16"/>
  <c r="H163" i="16" s="1"/>
  <c r="H234" i="16" s="1"/>
  <c r="J26" i="18"/>
  <c r="G98" i="18" s="1"/>
  <c r="J21" i="18"/>
  <c r="I123" i="18"/>
  <c r="J171" i="16"/>
  <c r="J132" i="16"/>
  <c r="J108" i="16"/>
  <c r="H108" i="16"/>
  <c r="G122" i="18"/>
  <c r="F98" i="18"/>
  <c r="F168" i="18" s="1"/>
  <c r="J113" i="16"/>
  <c r="G184" i="16"/>
  <c r="J128" i="16"/>
  <c r="H128" i="16" s="1"/>
  <c r="J32" i="18"/>
  <c r="I104" i="18" s="1"/>
  <c r="J42" i="18"/>
  <c r="H114" i="18"/>
  <c r="J41" i="18"/>
  <c r="H113" i="18"/>
  <c r="J33" i="18"/>
  <c r="G105" i="18" s="1"/>
  <c r="J142" i="16"/>
  <c r="J56" i="18"/>
  <c r="F128" i="18" s="1"/>
  <c r="J160" i="16"/>
  <c r="H160" i="16"/>
  <c r="J127" i="16"/>
  <c r="H127" i="16" s="1"/>
  <c r="J167" i="16"/>
  <c r="F173" i="16"/>
  <c r="J115" i="16"/>
  <c r="F115" i="16"/>
  <c r="J23" i="18"/>
  <c r="J22" i="18"/>
  <c r="H94" i="18" s="1"/>
  <c r="J109" i="16"/>
  <c r="J28" i="18"/>
  <c r="G100" i="18" s="1"/>
  <c r="H100" i="18"/>
  <c r="J24" i="18"/>
  <c r="G96" i="18"/>
  <c r="J122" i="16"/>
  <c r="J131" i="16"/>
  <c r="F131" i="16" s="1"/>
  <c r="J145" i="16"/>
  <c r="J58" i="18"/>
  <c r="I171" i="16"/>
  <c r="H95" i="18"/>
  <c r="J118" i="16"/>
  <c r="H118" i="16"/>
  <c r="J112" i="16"/>
  <c r="H112" i="16" s="1"/>
  <c r="J151" i="16"/>
  <c r="I151" i="16"/>
  <c r="J164" i="16"/>
  <c r="F164" i="16" s="1"/>
  <c r="G99" i="18"/>
  <c r="I124" i="18"/>
  <c r="I159" i="16"/>
  <c r="G95" i="18"/>
  <c r="F145" i="16"/>
  <c r="J54" i="18"/>
  <c r="J141" i="16"/>
  <c r="F141" i="16" s="1"/>
  <c r="F212" i="16" s="1"/>
  <c r="J55" i="18"/>
  <c r="G127" i="18" s="1"/>
  <c r="J57" i="18"/>
  <c r="G156" i="16"/>
  <c r="G227" i="16"/>
  <c r="I210" i="16"/>
  <c r="H128" i="18"/>
  <c r="J61" i="18"/>
  <c r="F133" i="18"/>
  <c r="H133" i="18"/>
  <c r="J64" i="18"/>
  <c r="I136" i="18" s="1"/>
  <c r="F136" i="18"/>
  <c r="J161" i="16"/>
  <c r="G161" i="16" s="1"/>
  <c r="G232" i="16" s="1"/>
  <c r="J148" i="16"/>
  <c r="G148" i="16"/>
  <c r="G219" i="16" s="1"/>
  <c r="I130" i="18"/>
  <c r="F151" i="16"/>
  <c r="G160" i="16"/>
  <c r="I158" i="16"/>
  <c r="G123" i="18"/>
  <c r="F129" i="18"/>
  <c r="H129" i="18"/>
  <c r="G129" i="18"/>
  <c r="F130" i="18"/>
  <c r="G130" i="18"/>
  <c r="H92" i="18"/>
  <c r="H162" i="18" s="1"/>
  <c r="G92" i="18"/>
  <c r="I92" i="18"/>
  <c r="F92" i="18"/>
  <c r="I152" i="16"/>
  <c r="G126" i="18"/>
  <c r="H126" i="18"/>
  <c r="I126" i="18"/>
  <c r="F126" i="18"/>
  <c r="J37" i="18"/>
  <c r="H109" i="18" s="1"/>
  <c r="J39" i="18"/>
  <c r="I111" i="18" s="1"/>
  <c r="J43" i="18"/>
  <c r="G115" i="18"/>
  <c r="J36" i="18"/>
  <c r="I108" i="18" s="1"/>
  <c r="J38" i="18"/>
  <c r="G110" i="18" s="1"/>
  <c r="J121" i="16"/>
  <c r="H121" i="16" s="1"/>
  <c r="J35" i="18"/>
  <c r="G107" i="18"/>
  <c r="J45" i="18"/>
  <c r="I117" i="18" s="1"/>
  <c r="J130" i="16"/>
  <c r="H130" i="16" s="1"/>
  <c r="J48" i="18"/>
  <c r="F120" i="18" s="1"/>
  <c r="J46" i="18"/>
  <c r="H118" i="18"/>
  <c r="J44" i="18"/>
  <c r="G116" i="18" s="1"/>
  <c r="J47" i="18"/>
  <c r="G119" i="18" s="1"/>
  <c r="J34" i="18"/>
  <c r="G106" i="18" s="1"/>
  <c r="D37" i="12"/>
  <c r="J146" i="16"/>
  <c r="J59" i="18"/>
  <c r="G131" i="18" s="1"/>
  <c r="F134" i="16"/>
  <c r="H134" i="16"/>
  <c r="F101" i="18"/>
  <c r="I101" i="18"/>
  <c r="H101" i="18"/>
  <c r="D9" i="41"/>
  <c r="E7" i="4"/>
  <c r="H143" i="16"/>
  <c r="H122" i="18"/>
  <c r="F113" i="16"/>
  <c r="F114" i="18"/>
  <c r="F137" i="16"/>
  <c r="F152" i="16"/>
  <c r="F223" i="16" s="1"/>
  <c r="G125" i="18"/>
  <c r="J149" i="16"/>
  <c r="H149" i="16" s="1"/>
  <c r="H220" i="16" s="1"/>
  <c r="G149" i="16"/>
  <c r="J72" i="18"/>
  <c r="H144" i="18" s="1"/>
  <c r="J82" i="18"/>
  <c r="F154" i="18"/>
  <c r="H150" i="16"/>
  <c r="F150" i="16"/>
  <c r="H113" i="16"/>
  <c r="G150" i="16"/>
  <c r="G221" i="16" s="1"/>
  <c r="H154" i="16"/>
  <c r="G169" i="16"/>
  <c r="J27" i="40"/>
  <c r="L27" i="40" s="1"/>
  <c r="F149" i="16"/>
  <c r="I149" i="16"/>
  <c r="F9" i="41"/>
  <c r="C11" i="39" s="1"/>
  <c r="E11" i="39" s="1"/>
  <c r="F11" i="39" s="1"/>
  <c r="H9" i="41"/>
  <c r="H146" i="16"/>
  <c r="H217" i="16" s="1"/>
  <c r="I217" i="16"/>
  <c r="I115" i="18"/>
  <c r="F121" i="16"/>
  <c r="E25" i="4"/>
  <c r="D10" i="41"/>
  <c r="F10" i="41"/>
  <c r="C12" i="39" s="1"/>
  <c r="E12" i="39" s="1"/>
  <c r="F12" i="39" s="1"/>
  <c r="D46" i="10"/>
  <c r="D68" i="10" s="1"/>
  <c r="J38" i="40"/>
  <c r="K38" i="40" s="1"/>
  <c r="J36" i="40"/>
  <c r="K36" i="40" s="1"/>
  <c r="G104" i="18"/>
  <c r="H107" i="18"/>
  <c r="G108" i="18"/>
  <c r="F118" i="18"/>
  <c r="F106" i="18"/>
  <c r="G120" i="18"/>
  <c r="I106" i="18"/>
  <c r="H106" i="18"/>
  <c r="H110" i="18"/>
  <c r="H111" i="18"/>
  <c r="H104" i="18"/>
  <c r="H105" i="18"/>
  <c r="I107" i="18"/>
  <c r="G118" i="18"/>
  <c r="I110" i="18"/>
  <c r="F104" i="18"/>
  <c r="F128" i="16"/>
  <c r="H116" i="18"/>
  <c r="G202" i="16"/>
  <c r="J35" i="40"/>
  <c r="L35" i="40" s="1"/>
  <c r="H110" i="16"/>
  <c r="H109" i="16"/>
  <c r="G173" i="16"/>
  <c r="G133" i="18"/>
  <c r="F158" i="16"/>
  <c r="I173" i="16"/>
  <c r="I244" i="16"/>
  <c r="H158" i="16"/>
  <c r="G163" i="16"/>
  <c r="H157" i="16"/>
  <c r="H126" i="16"/>
  <c r="F111" i="18"/>
  <c r="I120" i="18"/>
  <c r="H119" i="18"/>
  <c r="H124" i="16"/>
  <c r="F136" i="16"/>
  <c r="H120" i="18"/>
  <c r="J135" i="16"/>
  <c r="H120" i="16"/>
  <c r="H122" i="16"/>
  <c r="G114" i="18"/>
  <c r="F125" i="16"/>
  <c r="H129" i="16"/>
  <c r="G111" i="18"/>
  <c r="I114" i="18"/>
  <c r="G113" i="18"/>
  <c r="H131" i="16"/>
  <c r="F169" i="16"/>
  <c r="F240" i="16" s="1"/>
  <c r="J78" i="18"/>
  <c r="I150" i="18" s="1"/>
  <c r="J83" i="18"/>
  <c r="J67" i="18"/>
  <c r="J162" i="16"/>
  <c r="J84" i="18"/>
  <c r="J85" i="18"/>
  <c r="F157" i="18" s="1"/>
  <c r="J76" i="18"/>
  <c r="F148" i="18" s="1"/>
  <c r="J81" i="18"/>
  <c r="H172" i="16"/>
  <c r="G144" i="18"/>
  <c r="G154" i="18"/>
  <c r="J75" i="18"/>
  <c r="H147" i="18" s="1"/>
  <c r="H136" i="18"/>
  <c r="H148" i="16"/>
  <c r="F148" i="16"/>
  <c r="I148" i="16"/>
  <c r="J69" i="18"/>
  <c r="F141" i="18" s="1"/>
  <c r="H151" i="16"/>
  <c r="I160" i="16"/>
  <c r="I231" i="16" s="1"/>
  <c r="F160" i="16"/>
  <c r="F171" i="16"/>
  <c r="G171" i="16"/>
  <c r="H171" i="16"/>
  <c r="H242" i="16" s="1"/>
  <c r="H170" i="16"/>
  <c r="G170" i="16"/>
  <c r="F170" i="16"/>
  <c r="I170" i="16"/>
  <c r="I241" i="16" s="1"/>
  <c r="G165" i="16"/>
  <c r="H156" i="16"/>
  <c r="I156" i="16"/>
  <c r="I165" i="16"/>
  <c r="J168" i="16"/>
  <c r="I168" i="16" s="1"/>
  <c r="I239" i="16" s="1"/>
  <c r="J155" i="16"/>
  <c r="F155" i="16" s="1"/>
  <c r="H152" i="16"/>
  <c r="G152" i="16"/>
  <c r="G223" i="16" s="1"/>
  <c r="J153" i="16"/>
  <c r="J166" i="16"/>
  <c r="I144" i="18"/>
  <c r="H154" i="18"/>
  <c r="J79" i="18"/>
  <c r="G151" i="18" s="1"/>
  <c r="J66" i="18"/>
  <c r="J80" i="18"/>
  <c r="H152" i="18" s="1"/>
  <c r="J63" i="18"/>
  <c r="J68" i="18"/>
  <c r="H167" i="16"/>
  <c r="G167" i="16"/>
  <c r="I167" i="16"/>
  <c r="I172" i="16"/>
  <c r="I243" i="16" s="1"/>
  <c r="I154" i="16"/>
  <c r="G154" i="16"/>
  <c r="G225" i="16" s="1"/>
  <c r="I154" i="18"/>
  <c r="J77" i="18"/>
  <c r="G149" i="18" s="1"/>
  <c r="J62" i="18"/>
  <c r="I134" i="18" s="1"/>
  <c r="J70" i="18"/>
  <c r="G142" i="18" s="1"/>
  <c r="G136" i="18"/>
  <c r="G172" i="16"/>
  <c r="J71" i="18"/>
  <c r="J65" i="18"/>
  <c r="H169" i="16"/>
  <c r="G146" i="18"/>
  <c r="H146" i="18"/>
  <c r="I146" i="18"/>
  <c r="F146" i="18"/>
  <c r="H164" i="16"/>
  <c r="I133" i="18"/>
  <c r="H117" i="16"/>
  <c r="F117" i="16"/>
  <c r="F116" i="16"/>
  <c r="H116" i="16"/>
  <c r="H107" i="16"/>
  <c r="F107" i="16"/>
  <c r="H96" i="18"/>
  <c r="G189" i="16"/>
  <c r="H114" i="16"/>
  <c r="F109" i="16"/>
  <c r="J30" i="18"/>
  <c r="H102" i="18" s="1"/>
  <c r="J111" i="16"/>
  <c r="F112" i="16"/>
  <c r="F96" i="18"/>
  <c r="H115" i="16"/>
  <c r="H186" i="16" s="1"/>
  <c r="I96" i="18"/>
  <c r="F118" i="16"/>
  <c r="F100" i="18"/>
  <c r="F93" i="18"/>
  <c r="F99" i="18"/>
  <c r="G93" i="18"/>
  <c r="I189" i="16"/>
  <c r="H93" i="18"/>
  <c r="F114" i="16"/>
  <c r="H10" i="41"/>
  <c r="H135" i="16"/>
  <c r="F135" i="16"/>
  <c r="I141" i="18"/>
  <c r="G141" i="18"/>
  <c r="H141" i="18"/>
  <c r="H143" i="18"/>
  <c r="I143" i="18"/>
  <c r="F143" i="18"/>
  <c r="G143" i="18"/>
  <c r="G134" i="18"/>
  <c r="G203" i="18" s="1"/>
  <c r="H157" i="18"/>
  <c r="G153" i="18"/>
  <c r="F153" i="18"/>
  <c r="H153" i="18"/>
  <c r="I153" i="18"/>
  <c r="F162" i="16"/>
  <c r="F233" i="16" s="1"/>
  <c r="H162" i="16"/>
  <c r="I162" i="16"/>
  <c r="G162" i="16"/>
  <c r="H155" i="18"/>
  <c r="F155" i="18"/>
  <c r="G155" i="18"/>
  <c r="I155" i="18"/>
  <c r="H149" i="18"/>
  <c r="I138" i="18"/>
  <c r="G138" i="18"/>
  <c r="H138" i="18"/>
  <c r="F138" i="18"/>
  <c r="I166" i="16"/>
  <c r="H166" i="16"/>
  <c r="G166" i="16"/>
  <c r="F166" i="16"/>
  <c r="G155" i="16"/>
  <c r="G226" i="16" s="1"/>
  <c r="I155" i="16"/>
  <c r="I147" i="18"/>
  <c r="F147" i="18"/>
  <c r="H156" i="18"/>
  <c r="F156" i="18"/>
  <c r="G156" i="18"/>
  <c r="I156" i="18"/>
  <c r="I140" i="18"/>
  <c r="H140" i="18"/>
  <c r="G140" i="18"/>
  <c r="F140" i="18"/>
  <c r="I153" i="16"/>
  <c r="G153" i="16"/>
  <c r="G224" i="16"/>
  <c r="F153" i="16"/>
  <c r="H153" i="16"/>
  <c r="F168" i="16"/>
  <c r="H168" i="16"/>
  <c r="H239" i="16" s="1"/>
  <c r="H137" i="18"/>
  <c r="I137" i="18"/>
  <c r="G137" i="18"/>
  <c r="F137" i="18"/>
  <c r="I142" i="18"/>
  <c r="I135" i="18"/>
  <c r="G135" i="18"/>
  <c r="H135" i="18"/>
  <c r="F135" i="18"/>
  <c r="I148" i="18"/>
  <c r="F139" i="18"/>
  <c r="H139" i="18"/>
  <c r="I139" i="18"/>
  <c r="G139" i="18"/>
  <c r="I102" i="18"/>
  <c r="G102" i="18"/>
  <c r="F102" i="18"/>
  <c r="F111" i="16"/>
  <c r="H111" i="16"/>
  <c r="H182" i="16" s="1"/>
  <c r="I221" i="16"/>
  <c r="I214" i="16"/>
  <c r="I242" i="16"/>
  <c r="I237" i="16"/>
  <c r="I233" i="16"/>
  <c r="I238" i="16"/>
  <c r="I236" i="16"/>
  <c r="H227" i="16"/>
  <c r="G213" i="16"/>
  <c r="G215" i="16"/>
  <c r="F219" i="16"/>
  <c r="H244" i="16"/>
  <c r="I223" i="16"/>
  <c r="G188" i="16"/>
  <c r="G220" i="16"/>
  <c r="G208" i="16"/>
  <c r="G231" i="16"/>
  <c r="G210" i="16"/>
  <c r="D23" i="43"/>
  <c r="H231" i="16"/>
  <c r="H219" i="16"/>
  <c r="H228" i="16"/>
  <c r="H224" i="16"/>
  <c r="H229" i="16"/>
  <c r="H223" i="16"/>
  <c r="H221" i="16"/>
  <c r="H225" i="16"/>
  <c r="G211" i="16"/>
  <c r="G216" i="16"/>
  <c r="G209" i="16"/>
  <c r="G207" i="16"/>
  <c r="G204" i="16"/>
  <c r="G203" i="16"/>
  <c r="G200" i="16"/>
  <c r="G199" i="16"/>
  <c r="G201" i="16"/>
  <c r="G186" i="16"/>
  <c r="G185" i="16"/>
  <c r="G187" i="16"/>
  <c r="G205" i="16"/>
  <c r="H222" i="16"/>
  <c r="F222" i="16"/>
  <c r="H184" i="16"/>
  <c r="G193" i="16"/>
  <c r="G196" i="16"/>
  <c r="G190" i="16"/>
  <c r="G192" i="16"/>
  <c r="I181" i="16"/>
  <c r="G181" i="16"/>
  <c r="G182" i="16"/>
  <c r="H235" i="16"/>
  <c r="C12" i="43"/>
  <c r="P17" i="2"/>
  <c r="O17" i="2"/>
  <c r="H20" i="14"/>
  <c r="J15" i="40" s="1"/>
  <c r="N17" i="2" l="1"/>
  <c r="Q17" i="2" s="1"/>
  <c r="C49" i="43"/>
  <c r="G192" i="18"/>
  <c r="F162" i="18"/>
  <c r="H139" i="16"/>
  <c r="I168" i="18"/>
  <c r="G168" i="18"/>
  <c r="D57" i="12"/>
  <c r="D58" i="12" s="1"/>
  <c r="E29" i="4"/>
  <c r="H5" i="44"/>
  <c r="I174" i="18"/>
  <c r="F140" i="16"/>
  <c r="F211" i="16" s="1"/>
  <c r="I203" i="18"/>
  <c r="H142" i="18"/>
  <c r="F151" i="18"/>
  <c r="F150" i="18"/>
  <c r="H108" i="18"/>
  <c r="H174" i="18" s="1"/>
  <c r="I116" i="18"/>
  <c r="I183" i="18" s="1"/>
  <c r="F221" i="16"/>
  <c r="I152" i="18"/>
  <c r="F110" i="18"/>
  <c r="G148" i="18"/>
  <c r="F142" i="18"/>
  <c r="F117" i="18"/>
  <c r="F183" i="18" s="1"/>
  <c r="I119" i="18"/>
  <c r="H117" i="18"/>
  <c r="H183" i="18" s="1"/>
  <c r="F127" i="16"/>
  <c r="F94" i="18"/>
  <c r="H141" i="16"/>
  <c r="F198" i="16"/>
  <c r="G168" i="16"/>
  <c r="G150" i="18"/>
  <c r="G152" i="18"/>
  <c r="I151" i="18"/>
  <c r="H150" i="18"/>
  <c r="G147" i="18"/>
  <c r="G216" i="18" s="1"/>
  <c r="I149" i="18"/>
  <c r="I157" i="18"/>
  <c r="I216" i="18" s="1"/>
  <c r="F134" i="18"/>
  <c r="F203" i="18" s="1"/>
  <c r="F130" i="16"/>
  <c r="F108" i="18"/>
  <c r="F174" i="18" s="1"/>
  <c r="F144" i="18"/>
  <c r="F131" i="18"/>
  <c r="H161" i="16"/>
  <c r="G128" i="18"/>
  <c r="F125" i="18"/>
  <c r="F192" i="18" s="1"/>
  <c r="H210" i="16"/>
  <c r="H148" i="18"/>
  <c r="H216" i="18" s="1"/>
  <c r="H155" i="16"/>
  <c r="H226" i="16" s="1"/>
  <c r="H151" i="18"/>
  <c r="F149" i="18"/>
  <c r="F216" i="18" s="1"/>
  <c r="G157" i="18"/>
  <c r="H134" i="18"/>
  <c r="H203" i="18" s="1"/>
  <c r="G109" i="18"/>
  <c r="G174" i="18" s="1"/>
  <c r="I131" i="18"/>
  <c r="I192" i="18" s="1"/>
  <c r="H127" i="18"/>
  <c r="H192" i="18" s="1"/>
  <c r="G94" i="18"/>
  <c r="G162" i="18" s="1"/>
  <c r="H98" i="18"/>
  <c r="H168" i="18" s="1"/>
  <c r="F152" i="18"/>
  <c r="F165" i="16"/>
  <c r="F105" i="18"/>
  <c r="G117" i="18"/>
  <c r="G183" i="18" s="1"/>
  <c r="H131" i="18"/>
  <c r="I94" i="18"/>
  <c r="I162" i="18" s="1"/>
  <c r="H197" i="16"/>
  <c r="F183" i="16"/>
  <c r="H183" i="16"/>
  <c r="E13" i="39"/>
  <c r="F13" i="39" s="1"/>
  <c r="I227" i="16"/>
  <c r="I164" i="16"/>
  <c r="I235" i="16" s="1"/>
  <c r="G164" i="16"/>
  <c r="G235" i="16" s="1"/>
  <c r="E55" i="11"/>
  <c r="H187" i="16"/>
  <c r="G230" i="16"/>
  <c r="F218" i="16"/>
  <c r="F242" i="16"/>
  <c r="F185" i="16"/>
  <c r="H243" i="16"/>
  <c r="G238" i="16"/>
  <c r="L36" i="40"/>
  <c r="K28" i="40"/>
  <c r="L38" i="40"/>
  <c r="L29" i="40"/>
  <c r="H192" i="16"/>
  <c r="F192" i="16"/>
  <c r="K35" i="40"/>
  <c r="K27" i="40"/>
  <c r="I183" i="16"/>
  <c r="F228" i="16"/>
  <c r="G240" i="16"/>
  <c r="I229" i="16"/>
  <c r="I188" i="16"/>
  <c r="H216" i="16"/>
  <c r="I202" i="16"/>
  <c r="I178" i="16"/>
  <c r="H218" i="16"/>
  <c r="F227" i="16"/>
  <c r="I204" i="16"/>
  <c r="I225" i="16"/>
  <c r="F187" i="16"/>
  <c r="I182" i="16"/>
  <c r="I187" i="16"/>
  <c r="I186" i="16"/>
  <c r="F234" i="16"/>
  <c r="F243" i="16"/>
  <c r="H236" i="16"/>
  <c r="I222" i="16"/>
  <c r="I224" i="16"/>
  <c r="F226" i="16"/>
  <c r="F189" i="16"/>
  <c r="I179" i="16"/>
  <c r="F184" i="16"/>
  <c r="H214" i="16"/>
  <c r="I184" i="16"/>
  <c r="H215" i="16"/>
  <c r="I219" i="16"/>
  <c r="G242" i="16"/>
  <c r="I195" i="16"/>
  <c r="H178" i="16"/>
  <c r="G239" i="16"/>
  <c r="G237" i="16"/>
  <c r="E54" i="11"/>
  <c r="G234" i="16"/>
  <c r="G214" i="16"/>
  <c r="G198" i="16"/>
  <c r="L10" i="40"/>
  <c r="F179" i="16"/>
  <c r="I220" i="16"/>
  <c r="F182" i="16"/>
  <c r="F217" i="16"/>
  <c r="F209" i="16"/>
  <c r="I211" i="16"/>
  <c r="H180" i="16"/>
  <c r="H181" i="16"/>
  <c r="H240" i="16"/>
  <c r="F236" i="16"/>
  <c r="F235" i="16"/>
  <c r="F186" i="16"/>
  <c r="F244" i="16"/>
  <c r="F214" i="16"/>
  <c r="I216" i="16"/>
  <c r="F181" i="16"/>
  <c r="E59" i="11"/>
  <c r="G236" i="16"/>
  <c r="F216" i="16"/>
  <c r="F178" i="16"/>
  <c r="G241" i="16"/>
  <c r="E60" i="11"/>
  <c r="H237" i="16"/>
  <c r="F208" i="16"/>
  <c r="H212" i="16"/>
  <c r="H232" i="16"/>
  <c r="G195" i="16"/>
  <c r="G233" i="16"/>
  <c r="H211" i="16"/>
  <c r="F215" i="16"/>
  <c r="H241" i="16"/>
  <c r="G197" i="16"/>
  <c r="G243" i="16"/>
  <c r="G244" i="16"/>
  <c r="G218" i="16"/>
  <c r="G191" i="16"/>
  <c r="H238" i="16"/>
  <c r="I230" i="16"/>
  <c r="F213" i="16"/>
  <c r="G217" i="16"/>
  <c r="I228" i="16"/>
  <c r="I226" i="16"/>
  <c r="I209" i="16"/>
  <c r="F188" i="16"/>
  <c r="F239" i="16"/>
  <c r="F237" i="16"/>
  <c r="H233" i="16"/>
  <c r="F180" i="16"/>
  <c r="F241" i="16"/>
  <c r="H179" i="16"/>
  <c r="H208" i="16"/>
  <c r="H209" i="16"/>
  <c r="L20" i="40"/>
  <c r="K20" i="40"/>
  <c r="K9" i="40"/>
  <c r="L9" i="40"/>
  <c r="K42" i="40"/>
  <c r="L42" i="40"/>
  <c r="K43" i="40"/>
  <c r="L43" i="40"/>
  <c r="L26" i="40"/>
  <c r="K26" i="40"/>
  <c r="H188" i="16"/>
  <c r="F220" i="16"/>
  <c r="F229" i="16"/>
  <c r="F197" i="16"/>
  <c r="G179" i="16"/>
  <c r="F230" i="16"/>
  <c r="I208" i="16"/>
  <c r="I212" i="16"/>
  <c r="I218" i="16"/>
  <c r="F224" i="16"/>
  <c r="F196" i="16"/>
  <c r="H189" i="16"/>
  <c r="G180" i="16"/>
  <c r="H185" i="16"/>
  <c r="F231" i="16"/>
  <c r="F225" i="16"/>
  <c r="F191" i="16"/>
  <c r="I215" i="16"/>
  <c r="F194" i="16"/>
  <c r="G183" i="16"/>
  <c r="Q16" i="2"/>
  <c r="E20" i="2"/>
  <c r="E21" i="2" s="1"/>
  <c r="O21" i="2" s="1"/>
  <c r="O19" i="2"/>
  <c r="O18" i="2"/>
  <c r="D51" i="12"/>
  <c r="F203" i="16" s="1"/>
  <c r="I196" i="16"/>
  <c r="H196" i="16"/>
  <c r="F193" i="16"/>
  <c r="I193" i="16"/>
  <c r="E57" i="11"/>
  <c r="K19" i="40"/>
  <c r="L19" i="40"/>
  <c r="H15" i="14"/>
  <c r="J37" i="40" s="1"/>
  <c r="L37" i="40" s="1"/>
  <c r="E4" i="13"/>
  <c r="J7" i="40" s="1"/>
  <c r="K7" i="40" s="1"/>
  <c r="E56" i="11"/>
  <c r="H191" i="16"/>
  <c r="H190" i="16"/>
  <c r="H194" i="16"/>
  <c r="H198" i="16"/>
  <c r="H193" i="16"/>
  <c r="H195" i="16"/>
  <c r="H200" i="16"/>
  <c r="H205" i="16"/>
  <c r="H199" i="16"/>
  <c r="H201" i="16"/>
  <c r="H202" i="16"/>
  <c r="H206" i="16"/>
  <c r="H203" i="16"/>
  <c r="H204" i="16"/>
  <c r="H207" i="16"/>
  <c r="I199" i="16"/>
  <c r="I207" i="16"/>
  <c r="I200" i="16"/>
  <c r="I198" i="16"/>
  <c r="I206" i="16"/>
  <c r="I205" i="16"/>
  <c r="I192" i="16"/>
  <c r="I203" i="16"/>
  <c r="I194" i="16"/>
  <c r="I197" i="16"/>
  <c r="I190" i="16"/>
  <c r="J14" i="40"/>
  <c r="L14" i="40" s="1"/>
  <c r="K15" i="40"/>
  <c r="L15" i="40"/>
  <c r="H18" i="14"/>
  <c r="E12" i="4"/>
  <c r="D12" i="43"/>
  <c r="K21" i="40"/>
  <c r="D27" i="43"/>
  <c r="D21" i="43"/>
  <c r="D45" i="43"/>
  <c r="L41" i="40"/>
  <c r="J44" i="40"/>
  <c r="K44" i="40" s="1"/>
  <c r="C35" i="10"/>
  <c r="E35" i="10"/>
  <c r="F19" i="2"/>
  <c r="P18" i="2"/>
  <c r="E22" i="2"/>
  <c r="C20" i="2"/>
  <c r="C21" i="2"/>
  <c r="N19" i="2"/>
  <c r="Q18" i="2" l="1"/>
  <c r="F207" i="16"/>
  <c r="F206" i="16"/>
  <c r="O20" i="2"/>
  <c r="G231" i="18"/>
  <c r="H11" i="14" s="1"/>
  <c r="J33" i="40" s="1"/>
  <c r="K33" i="40" s="1"/>
  <c r="D13" i="17"/>
  <c r="D17" i="17"/>
  <c r="D7" i="19"/>
  <c r="F31" i="5"/>
  <c r="F8" i="30"/>
  <c r="D26" i="17"/>
  <c r="D7" i="31"/>
  <c r="F10" i="30"/>
  <c r="J16" i="40"/>
  <c r="E6" i="13"/>
  <c r="J8" i="40" s="1"/>
  <c r="L8" i="40" s="1"/>
  <c r="L44" i="40"/>
  <c r="K14" i="40"/>
  <c r="K16" i="40" s="1"/>
  <c r="L16" i="40"/>
  <c r="F200" i="16"/>
  <c r="F201" i="16"/>
  <c r="F199" i="16"/>
  <c r="F204" i="16"/>
  <c r="F202" i="16"/>
  <c r="F205" i="16"/>
  <c r="K37" i="40"/>
  <c r="L7" i="40"/>
  <c r="D49" i="43"/>
  <c r="F93" i="5" s="1"/>
  <c r="H23" i="14" s="1"/>
  <c r="E24" i="10"/>
  <c r="E57" i="10"/>
  <c r="E68" i="10" s="1"/>
  <c r="C24" i="10"/>
  <c r="C57" i="10"/>
  <c r="C68" i="10" s="1"/>
  <c r="P19" i="2"/>
  <c r="Q19" i="2" s="1"/>
  <c r="F20" i="2"/>
  <c r="O22" i="2"/>
  <c r="E23" i="2"/>
  <c r="C23" i="2"/>
  <c r="N21" i="2"/>
  <c r="N20" i="2"/>
  <c r="C22" i="2"/>
  <c r="G248" i="16" l="1"/>
  <c r="H4" i="14" s="1"/>
  <c r="H3" i="14" s="1"/>
  <c r="L33" i="40"/>
  <c r="D20" i="30"/>
  <c r="H12" i="14" s="1"/>
  <c r="J18" i="40"/>
  <c r="K8" i="40"/>
  <c r="H22" i="14"/>
  <c r="C73" i="10"/>
  <c r="P20" i="2"/>
  <c r="Q20" i="2" s="1"/>
  <c r="F21" i="2"/>
  <c r="O23" i="2"/>
  <c r="E24" i="2"/>
  <c r="N23" i="2"/>
  <c r="C25" i="2"/>
  <c r="N22" i="2"/>
  <c r="C24" i="2"/>
  <c r="J25" i="40" l="1"/>
  <c r="K25" i="40" s="1"/>
  <c r="K31" i="40" s="1"/>
  <c r="J34" i="40"/>
  <c r="H10" i="14"/>
  <c r="H1" i="14" s="1"/>
  <c r="L18" i="40"/>
  <c r="L23" i="40" s="1"/>
  <c r="L25" i="40"/>
  <c r="L31" i="40" s="1"/>
  <c r="J23" i="40"/>
  <c r="K18" i="40"/>
  <c r="K23" i="40" s="1"/>
  <c r="E5" i="13"/>
  <c r="E3" i="13"/>
  <c r="F22" i="2"/>
  <c r="P21" i="2"/>
  <c r="Q21" i="2" s="1"/>
  <c r="O24" i="2"/>
  <c r="E25" i="2"/>
  <c r="N25" i="2"/>
  <c r="C27" i="2"/>
  <c r="N24" i="2"/>
  <c r="C26" i="2"/>
  <c r="J31" i="40" l="1"/>
  <c r="H5" i="21"/>
  <c r="H5" i="20"/>
  <c r="L34" i="40"/>
  <c r="L39" i="40" s="1"/>
  <c r="L45" i="40" s="1"/>
  <c r="J39" i="40"/>
  <c r="K34" i="40"/>
  <c r="K39" i="40" s="1"/>
  <c r="K45" i="40" s="1"/>
  <c r="J6" i="40"/>
  <c r="E1" i="13"/>
  <c r="P22" i="2"/>
  <c r="Q22" i="2" s="1"/>
  <c r="F23" i="2"/>
  <c r="O25" i="2"/>
  <c r="E26" i="2"/>
  <c r="N26" i="2"/>
  <c r="C28" i="2"/>
  <c r="C29" i="2"/>
  <c r="N27" i="2"/>
  <c r="J45" i="40" l="1"/>
  <c r="M21" i="40" s="1"/>
  <c r="H3" i="20"/>
  <c r="H1" i="20" s="1"/>
  <c r="H7" i="21" s="1"/>
  <c r="J49" i="40" s="1"/>
  <c r="H3" i="21"/>
  <c r="K6" i="40"/>
  <c r="J11" i="40"/>
  <c r="L6" i="40"/>
  <c r="L11" i="40" s="1"/>
  <c r="L47" i="40" s="1"/>
  <c r="P23" i="2"/>
  <c r="Q23" i="2" s="1"/>
  <c r="F24" i="2"/>
  <c r="O26" i="2"/>
  <c r="E27" i="2"/>
  <c r="C30" i="2"/>
  <c r="N28" i="2"/>
  <c r="N29" i="2"/>
  <c r="C31" i="2"/>
  <c r="M34" i="40" l="1"/>
  <c r="M42" i="40"/>
  <c r="M18" i="40"/>
  <c r="M35" i="40"/>
  <c r="M28" i="40"/>
  <c r="M29" i="40"/>
  <c r="M27" i="40"/>
  <c r="M22" i="40"/>
  <c r="M43" i="40"/>
  <c r="M33" i="40"/>
  <c r="M20" i="40"/>
  <c r="M38" i="40"/>
  <c r="M19" i="40"/>
  <c r="M41" i="40"/>
  <c r="M25" i="40"/>
  <c r="M26" i="40"/>
  <c r="M14" i="40"/>
  <c r="M36" i="40"/>
  <c r="M15" i="40"/>
  <c r="M37" i="40"/>
  <c r="J64" i="40"/>
  <c r="M6" i="40"/>
  <c r="H1" i="21"/>
  <c r="H3" i="25" s="1"/>
  <c r="H1" i="25" s="1"/>
  <c r="M10" i="40"/>
  <c r="M9" i="40"/>
  <c r="J47" i="40"/>
  <c r="J62" i="40" s="1"/>
  <c r="K11" i="40"/>
  <c r="K47" i="40" s="1"/>
  <c r="M7" i="40"/>
  <c r="M8" i="40"/>
  <c r="K49" i="40"/>
  <c r="L49" i="40"/>
  <c r="L62" i="40" s="1"/>
  <c r="P24" i="2"/>
  <c r="Q24" i="2" s="1"/>
  <c r="F25" i="2"/>
  <c r="E28" i="2"/>
  <c r="O27" i="2"/>
  <c r="C33" i="2"/>
  <c r="N31" i="2"/>
  <c r="N30" i="2"/>
  <c r="C32" i="2"/>
  <c r="M23" i="40" l="1"/>
  <c r="M44" i="40"/>
  <c r="M31" i="40"/>
  <c r="M39" i="40"/>
  <c r="M16" i="40"/>
  <c r="N55" i="40"/>
  <c r="N59" i="40"/>
  <c r="N43" i="40"/>
  <c r="N36" i="40"/>
  <c r="N33" i="40"/>
  <c r="N28" i="40"/>
  <c r="N20" i="40"/>
  <c r="N56" i="40"/>
  <c r="N60" i="40"/>
  <c r="N44" i="40"/>
  <c r="N41" i="40"/>
  <c r="N37" i="40"/>
  <c r="N31" i="40"/>
  <c r="N29" i="40"/>
  <c r="N21" i="40"/>
  <c r="N15" i="40"/>
  <c r="N8" i="40"/>
  <c r="N6" i="40"/>
  <c r="N16" i="40"/>
  <c r="N42" i="40"/>
  <c r="N39" i="40"/>
  <c r="N19" i="40"/>
  <c r="N14" i="40"/>
  <c r="N7" i="40"/>
  <c r="N57" i="40"/>
  <c r="N54" i="40"/>
  <c r="N34" i="40"/>
  <c r="N38" i="40"/>
  <c r="N26" i="40"/>
  <c r="N25" i="40"/>
  <c r="N22" i="40"/>
  <c r="N9" i="40"/>
  <c r="N58" i="40"/>
  <c r="N35" i="40"/>
  <c r="N27" i="40"/>
  <c r="N10" i="40"/>
  <c r="N11" i="40"/>
  <c r="N18" i="40"/>
  <c r="N23" i="40"/>
  <c r="N45" i="40"/>
  <c r="L64" i="40"/>
  <c r="K62" i="40"/>
  <c r="K64" i="40" s="1"/>
  <c r="N47" i="40"/>
  <c r="N49" i="40"/>
  <c r="M11" i="40"/>
  <c r="D12" i="41"/>
  <c r="F12" i="41" s="1"/>
  <c r="C14" i="39" s="1"/>
  <c r="E14" i="39" s="1"/>
  <c r="F14" i="39" s="1"/>
  <c r="H3" i="44"/>
  <c r="H1" i="44" s="1"/>
  <c r="F26" i="2"/>
  <c r="P25" i="2"/>
  <c r="Q25" i="2" s="1"/>
  <c r="O28" i="2"/>
  <c r="E29" i="2"/>
  <c r="C35" i="2"/>
  <c r="N33" i="2"/>
  <c r="C34" i="2"/>
  <c r="N32" i="2"/>
  <c r="M45" i="40" l="1"/>
  <c r="N62" i="40"/>
  <c r="H12" i="41"/>
  <c r="D7" i="41"/>
  <c r="D3" i="41"/>
  <c r="D6" i="41"/>
  <c r="D15" i="41"/>
  <c r="D19" i="41"/>
  <c r="D16" i="41"/>
  <c r="D4" i="41"/>
  <c r="D5" i="41"/>
  <c r="D17" i="41"/>
  <c r="F27" i="2"/>
  <c r="P26" i="2"/>
  <c r="Q26" i="2" s="1"/>
  <c r="O29" i="2"/>
  <c r="E30" i="2"/>
  <c r="N34" i="2"/>
  <c r="C36" i="2"/>
  <c r="N35" i="2"/>
  <c r="C37" i="2"/>
  <c r="H4" i="41" l="1"/>
  <c r="F4" i="41"/>
  <c r="C6" i="39" s="1"/>
  <c r="E6" i="39" s="1"/>
  <c r="F6" i="39" s="1"/>
  <c r="H6" i="41"/>
  <c r="F6" i="41"/>
  <c r="C8" i="39" s="1"/>
  <c r="E8" i="39" s="1"/>
  <c r="F8" i="39" s="1"/>
  <c r="F5" i="41"/>
  <c r="C7" i="39" s="1"/>
  <c r="E7" i="39" s="1"/>
  <c r="F7" i="39" s="1"/>
  <c r="H5" i="41"/>
  <c r="H16" i="41"/>
  <c r="F16" i="41"/>
  <c r="C18" i="39" s="1"/>
  <c r="E18" i="39" s="1"/>
  <c r="F18" i="39" s="1"/>
  <c r="F3" i="41"/>
  <c r="C5" i="39" s="1"/>
  <c r="E5" i="39" s="1"/>
  <c r="F5" i="39" s="1"/>
  <c r="H3" i="41"/>
  <c r="H15" i="41"/>
  <c r="F15" i="41"/>
  <c r="C17" i="39" s="1"/>
  <c r="E17" i="39" s="1"/>
  <c r="F17" i="39" s="1"/>
  <c r="F17" i="41"/>
  <c r="C19" i="39" s="1"/>
  <c r="E19" i="39" s="1"/>
  <c r="F19" i="39" s="1"/>
  <c r="H17" i="41"/>
  <c r="F19" i="41"/>
  <c r="C21" i="39" s="1"/>
  <c r="E21" i="39" s="1"/>
  <c r="F21" i="39" s="1"/>
  <c r="H19" i="41"/>
  <c r="H7" i="41"/>
  <c r="F7" i="41"/>
  <c r="C9" i="39" s="1"/>
  <c r="E9" i="39" s="1"/>
  <c r="F9" i="39" s="1"/>
  <c r="F28" i="2"/>
  <c r="P27" i="2"/>
  <c r="Q27" i="2" s="1"/>
  <c r="O30" i="2"/>
  <c r="E31" i="2"/>
  <c r="N36" i="2"/>
  <c r="C38" i="2"/>
  <c r="C39" i="2"/>
  <c r="N37" i="2"/>
  <c r="I27" i="39" l="1"/>
  <c r="L27" i="39" s="1"/>
  <c r="I25" i="39"/>
  <c r="L25" i="39" s="1"/>
  <c r="L30" i="39" s="1"/>
  <c r="C27" i="39" s="1"/>
  <c r="I26" i="39"/>
  <c r="L26" i="39" s="1"/>
  <c r="P28" i="2"/>
  <c r="Q28" i="2" s="1"/>
  <c r="F29" i="2"/>
  <c r="O31" i="2"/>
  <c r="E32" i="2"/>
  <c r="N39" i="2"/>
  <c r="C41" i="2"/>
  <c r="C40" i="2"/>
  <c r="N38" i="2"/>
  <c r="P29" i="2" l="1"/>
  <c r="Q29" i="2" s="1"/>
  <c r="F30" i="2"/>
  <c r="O32" i="2"/>
  <c r="E33" i="2"/>
  <c r="N40" i="2"/>
  <c r="C42" i="2"/>
  <c r="C43" i="2"/>
  <c r="N41" i="2"/>
  <c r="P30" i="2" l="1"/>
  <c r="Q30" i="2" s="1"/>
  <c r="F31" i="2"/>
  <c r="O33" i="2"/>
  <c r="E34" i="2"/>
  <c r="N43" i="2"/>
  <c r="C45" i="2"/>
  <c r="C44" i="2"/>
  <c r="N42" i="2"/>
  <c r="P31" i="2" l="1"/>
  <c r="Q31" i="2" s="1"/>
  <c r="F32" i="2"/>
  <c r="O34" i="2"/>
  <c r="E35" i="2"/>
  <c r="C46" i="2"/>
  <c r="N44" i="2"/>
  <c r="C47" i="2"/>
  <c r="N45" i="2"/>
  <c r="P32" i="2" l="1"/>
  <c r="Q32" i="2" s="1"/>
  <c r="F33" i="2"/>
  <c r="O35" i="2"/>
  <c r="E36" i="2"/>
  <c r="N47" i="2"/>
  <c r="C49" i="2"/>
  <c r="C48" i="2"/>
  <c r="N46" i="2"/>
  <c r="P33" i="2" l="1"/>
  <c r="Q33" i="2" s="1"/>
  <c r="F34" i="2"/>
  <c r="O36" i="2"/>
  <c r="E37" i="2"/>
  <c r="C50" i="2"/>
  <c r="N48" i="2"/>
  <c r="N49" i="2"/>
  <c r="C51" i="2"/>
  <c r="P34" i="2" l="1"/>
  <c r="Q34" i="2" s="1"/>
  <c r="F35" i="2"/>
  <c r="O37" i="2"/>
  <c r="E38" i="2"/>
  <c r="N51" i="2"/>
  <c r="C53" i="2"/>
  <c r="N50" i="2"/>
  <c r="C52" i="2"/>
  <c r="P35" i="2" l="1"/>
  <c r="Q35" i="2" s="1"/>
  <c r="F36" i="2"/>
  <c r="O38" i="2"/>
  <c r="E39" i="2"/>
  <c r="C54" i="2"/>
  <c r="N52" i="2"/>
  <c r="C55" i="2"/>
  <c r="N53" i="2"/>
  <c r="P36" i="2" l="1"/>
  <c r="Q36" i="2" s="1"/>
  <c r="F37" i="2"/>
  <c r="O39" i="2"/>
  <c r="E40" i="2"/>
  <c r="C57" i="2"/>
  <c r="N55" i="2"/>
  <c r="N54" i="2"/>
  <c r="C56" i="2"/>
  <c r="P37" i="2" l="1"/>
  <c r="Q37" i="2" s="1"/>
  <c r="F38" i="2"/>
  <c r="O40" i="2"/>
  <c r="E41" i="2"/>
  <c r="N56" i="2"/>
  <c r="C58" i="2"/>
  <c r="C59" i="2"/>
  <c r="N57" i="2"/>
  <c r="P38" i="2" l="1"/>
  <c r="Q38" i="2" s="1"/>
  <c r="F39" i="2"/>
  <c r="O41" i="2"/>
  <c r="E42" i="2"/>
  <c r="N59" i="2"/>
  <c r="C61" i="2"/>
  <c r="N58" i="2"/>
  <c r="C60" i="2"/>
  <c r="P39" i="2" l="1"/>
  <c r="Q39" i="2" s="1"/>
  <c r="F40" i="2"/>
  <c r="O42" i="2"/>
  <c r="E43" i="2"/>
  <c r="N61" i="2"/>
  <c r="C63" i="2"/>
  <c r="C62" i="2"/>
  <c r="N60" i="2"/>
  <c r="P40" i="2" l="1"/>
  <c r="Q40" i="2" s="1"/>
  <c r="F41" i="2"/>
  <c r="O43" i="2"/>
  <c r="E44" i="2"/>
  <c r="N62" i="2"/>
  <c r="C64" i="2"/>
  <c r="C65" i="2"/>
  <c r="N63" i="2"/>
  <c r="P41" i="2" l="1"/>
  <c r="Q41" i="2" s="1"/>
  <c r="F42" i="2"/>
  <c r="O44" i="2"/>
  <c r="E45" i="2"/>
  <c r="C67" i="2"/>
  <c r="N65" i="2"/>
  <c r="N64" i="2"/>
  <c r="C66" i="2"/>
  <c r="P42" i="2" l="1"/>
  <c r="Q42" i="2" s="1"/>
  <c r="F43" i="2"/>
  <c r="O45" i="2"/>
  <c r="E46" i="2"/>
  <c r="C68" i="2"/>
  <c r="N66" i="2"/>
  <c r="N67" i="2"/>
  <c r="C69" i="2"/>
  <c r="P43" i="2" l="1"/>
  <c r="Q43" i="2" s="1"/>
  <c r="F44" i="2"/>
  <c r="O46" i="2"/>
  <c r="E47" i="2"/>
  <c r="N69" i="2"/>
  <c r="C71" i="2"/>
  <c r="N68" i="2"/>
  <c r="C70" i="2"/>
  <c r="P44" i="2" l="1"/>
  <c r="Q44" i="2" s="1"/>
  <c r="F45" i="2"/>
  <c r="O47" i="2"/>
  <c r="E48" i="2"/>
  <c r="N70" i="2"/>
  <c r="C72" i="2"/>
  <c r="N71" i="2"/>
  <c r="C73" i="2"/>
  <c r="P45" i="2" l="1"/>
  <c r="Q45" i="2" s="1"/>
  <c r="F46" i="2"/>
  <c r="O48" i="2"/>
  <c r="E49" i="2"/>
  <c r="N73" i="2"/>
  <c r="C75" i="2"/>
  <c r="C74" i="2"/>
  <c r="N72" i="2"/>
  <c r="P46" i="2" l="1"/>
  <c r="Q46" i="2" s="1"/>
  <c r="F47" i="2"/>
  <c r="O49" i="2"/>
  <c r="E50" i="2"/>
  <c r="N75" i="2"/>
  <c r="C77" i="2"/>
  <c r="N74" i="2"/>
  <c r="C76" i="2"/>
  <c r="P47" i="2" l="1"/>
  <c r="Q47" i="2" s="1"/>
  <c r="F48" i="2"/>
  <c r="O50" i="2"/>
  <c r="E51" i="2"/>
  <c r="C78" i="2"/>
  <c r="N76" i="2"/>
  <c r="C79" i="2"/>
  <c r="N77" i="2"/>
  <c r="P48" i="2" l="1"/>
  <c r="Q48" i="2" s="1"/>
  <c r="F49" i="2"/>
  <c r="O51" i="2"/>
  <c r="E52" i="2"/>
  <c r="N79" i="2"/>
  <c r="C81" i="2"/>
  <c r="C80" i="2"/>
  <c r="N78" i="2"/>
  <c r="P49" i="2" l="1"/>
  <c r="Q49" i="2" s="1"/>
  <c r="F50" i="2"/>
  <c r="O52" i="2"/>
  <c r="E53" i="2"/>
  <c r="C82" i="2"/>
  <c r="N80" i="2"/>
  <c r="C83" i="2"/>
  <c r="N81" i="2"/>
  <c r="P50" i="2" l="1"/>
  <c r="Q50" i="2" s="1"/>
  <c r="F51" i="2"/>
  <c r="O53" i="2"/>
  <c r="E54" i="2"/>
  <c r="N83" i="2"/>
  <c r="C85" i="2"/>
  <c r="N82" i="2"/>
  <c r="C84" i="2"/>
  <c r="P51" i="2" l="1"/>
  <c r="Q51" i="2" s="1"/>
  <c r="F52" i="2"/>
  <c r="O54" i="2"/>
  <c r="E55" i="2"/>
  <c r="N84" i="2"/>
  <c r="C86" i="2"/>
  <c r="N85" i="2"/>
  <c r="C87" i="2"/>
  <c r="P52" i="2" l="1"/>
  <c r="Q52" i="2" s="1"/>
  <c r="F53" i="2"/>
  <c r="O55" i="2"/>
  <c r="E56" i="2"/>
  <c r="N86" i="2"/>
  <c r="C88" i="2"/>
  <c r="C89" i="2"/>
  <c r="N87" i="2"/>
  <c r="P53" i="2" l="1"/>
  <c r="Q53" i="2" s="1"/>
  <c r="F54" i="2"/>
  <c r="O56" i="2"/>
  <c r="E57" i="2"/>
  <c r="C91" i="2"/>
  <c r="N89" i="2"/>
  <c r="C90" i="2"/>
  <c r="N88" i="2"/>
  <c r="P54" i="2" l="1"/>
  <c r="Q54" i="2" s="1"/>
  <c r="F55" i="2"/>
  <c r="O57" i="2"/>
  <c r="E58" i="2"/>
  <c r="N90" i="2"/>
  <c r="C92" i="2"/>
  <c r="N91" i="2"/>
  <c r="C93" i="2"/>
  <c r="P55" i="2" l="1"/>
  <c r="Q55" i="2" s="1"/>
  <c r="F56" i="2"/>
  <c r="O58" i="2"/>
  <c r="E59" i="2"/>
  <c r="N93" i="2"/>
  <c r="C95" i="2"/>
  <c r="C94" i="2"/>
  <c r="N92" i="2"/>
  <c r="P56" i="2" l="1"/>
  <c r="Q56" i="2" s="1"/>
  <c r="F57" i="2"/>
  <c r="O59" i="2"/>
  <c r="E60" i="2"/>
  <c r="N94" i="2"/>
  <c r="C96" i="2"/>
  <c r="N95" i="2"/>
  <c r="C97" i="2"/>
  <c r="P57" i="2" l="1"/>
  <c r="Q57" i="2" s="1"/>
  <c r="F58" i="2"/>
  <c r="O60" i="2"/>
  <c r="E61" i="2"/>
  <c r="C99" i="2"/>
  <c r="N97" i="2"/>
  <c r="C98" i="2"/>
  <c r="N96" i="2"/>
  <c r="P58" i="2" l="1"/>
  <c r="Q58" i="2" s="1"/>
  <c r="F59" i="2"/>
  <c r="O61" i="2"/>
  <c r="E62" i="2"/>
  <c r="N98" i="2"/>
  <c r="C100" i="2"/>
  <c r="N99" i="2"/>
  <c r="C101" i="2"/>
  <c r="P59" i="2" l="1"/>
  <c r="Q59" i="2" s="1"/>
  <c r="F60" i="2"/>
  <c r="O62" i="2"/>
  <c r="E63" i="2"/>
  <c r="C103" i="2"/>
  <c r="N101" i="2"/>
  <c r="N100" i="2"/>
  <c r="C102" i="2"/>
  <c r="P60" i="2" l="1"/>
  <c r="Q60" i="2" s="1"/>
  <c r="F61" i="2"/>
  <c r="O63" i="2"/>
  <c r="E64" i="2"/>
  <c r="N102" i="2"/>
  <c r="C104" i="2"/>
  <c r="N103" i="2"/>
  <c r="C105" i="2"/>
  <c r="P61" i="2" l="1"/>
  <c r="Q61" i="2" s="1"/>
  <c r="F62" i="2"/>
  <c r="O64" i="2"/>
  <c r="E65" i="2"/>
  <c r="N105" i="2"/>
  <c r="C107" i="2"/>
  <c r="C106" i="2"/>
  <c r="N104" i="2"/>
  <c r="P62" i="2" l="1"/>
  <c r="Q62" i="2" s="1"/>
  <c r="F63" i="2"/>
  <c r="O65" i="2"/>
  <c r="E66" i="2"/>
  <c r="C108" i="2"/>
  <c r="N106" i="2"/>
  <c r="N107" i="2"/>
  <c r="C109" i="2"/>
  <c r="N109" i="2" s="1"/>
  <c r="P63" i="2" l="1"/>
  <c r="Q63" i="2" s="1"/>
  <c r="F64" i="2"/>
  <c r="O66" i="2"/>
  <c r="E67" i="2"/>
  <c r="N108" i="2"/>
  <c r="C110" i="2"/>
  <c r="N110" i="2" s="1"/>
  <c r="P64" i="2" l="1"/>
  <c r="Q64" i="2" s="1"/>
  <c r="F65" i="2"/>
  <c r="O67" i="2"/>
  <c r="E68" i="2"/>
  <c r="P65" i="2" l="1"/>
  <c r="Q65" i="2" s="1"/>
  <c r="F66" i="2"/>
  <c r="O68" i="2"/>
  <c r="E69" i="2"/>
  <c r="P66" i="2" l="1"/>
  <c r="Q66" i="2" s="1"/>
  <c r="F67" i="2"/>
  <c r="O69" i="2"/>
  <c r="E70" i="2"/>
  <c r="P67" i="2" l="1"/>
  <c r="Q67" i="2" s="1"/>
  <c r="F68" i="2"/>
  <c r="O70" i="2"/>
  <c r="E71" i="2"/>
  <c r="P68" i="2" l="1"/>
  <c r="Q68" i="2" s="1"/>
  <c r="F69" i="2"/>
  <c r="O71" i="2"/>
  <c r="E72" i="2"/>
  <c r="P69" i="2" l="1"/>
  <c r="Q69" i="2" s="1"/>
  <c r="F70" i="2"/>
  <c r="O72" i="2"/>
  <c r="E73" i="2"/>
  <c r="P70" i="2" l="1"/>
  <c r="Q70" i="2" s="1"/>
  <c r="F71" i="2"/>
  <c r="O73" i="2"/>
  <c r="E74" i="2"/>
  <c r="P71" i="2" l="1"/>
  <c r="Q71" i="2" s="1"/>
  <c r="F72" i="2"/>
  <c r="O74" i="2"/>
  <c r="E75" i="2"/>
  <c r="P72" i="2" l="1"/>
  <c r="Q72" i="2" s="1"/>
  <c r="F73" i="2"/>
  <c r="E76" i="2"/>
  <c r="O75" i="2"/>
  <c r="P73" i="2" l="1"/>
  <c r="Q73" i="2" s="1"/>
  <c r="F74" i="2"/>
  <c r="O76" i="2"/>
  <c r="E77" i="2"/>
  <c r="P74" i="2" l="1"/>
  <c r="Q74" i="2" s="1"/>
  <c r="F75" i="2"/>
  <c r="E78" i="2"/>
  <c r="O77" i="2"/>
  <c r="P75" i="2" l="1"/>
  <c r="Q75" i="2" s="1"/>
  <c r="F76" i="2"/>
  <c r="E79" i="2"/>
  <c r="O78" i="2"/>
  <c r="P76" i="2" l="1"/>
  <c r="Q76" i="2" s="1"/>
  <c r="F77" i="2"/>
  <c r="O79" i="2"/>
  <c r="E80" i="2"/>
  <c r="P77" i="2" l="1"/>
  <c r="Q77" i="2" s="1"/>
  <c r="F78" i="2"/>
  <c r="E81" i="2"/>
  <c r="O80" i="2"/>
  <c r="P78" i="2" l="1"/>
  <c r="Q78" i="2" s="1"/>
  <c r="F79" i="2"/>
  <c r="E82" i="2"/>
  <c r="O81" i="2"/>
  <c r="P79" i="2" l="1"/>
  <c r="Q79" i="2" s="1"/>
  <c r="F80" i="2"/>
  <c r="O82" i="2"/>
  <c r="E83" i="2"/>
  <c r="P80" i="2" l="1"/>
  <c r="Q80" i="2" s="1"/>
  <c r="F81" i="2"/>
  <c r="E84" i="2"/>
  <c r="O83" i="2"/>
  <c r="P81" i="2" l="1"/>
  <c r="Q81" i="2" s="1"/>
  <c r="F82" i="2"/>
  <c r="E85" i="2"/>
  <c r="O84" i="2"/>
  <c r="P82" i="2" l="1"/>
  <c r="Q82" i="2" s="1"/>
  <c r="F83" i="2"/>
  <c r="O85" i="2"/>
  <c r="E86" i="2"/>
  <c r="P83" i="2" l="1"/>
  <c r="Q83" i="2" s="1"/>
  <c r="F84" i="2"/>
  <c r="E87" i="2"/>
  <c r="O86" i="2"/>
  <c r="P84" i="2" l="1"/>
  <c r="Q84" i="2" s="1"/>
  <c r="F85" i="2"/>
  <c r="E88" i="2"/>
  <c r="O87" i="2"/>
  <c r="P85" i="2" l="1"/>
  <c r="Q85" i="2" s="1"/>
  <c r="F86" i="2"/>
  <c r="O88" i="2"/>
  <c r="E89" i="2"/>
  <c r="P86" i="2" l="1"/>
  <c r="Q86" i="2" s="1"/>
  <c r="F87" i="2"/>
  <c r="E90" i="2"/>
  <c r="O89" i="2"/>
  <c r="P87" i="2" l="1"/>
  <c r="Q87" i="2" s="1"/>
  <c r="F88" i="2"/>
  <c r="E91" i="2"/>
  <c r="O90" i="2"/>
  <c r="P88" i="2" l="1"/>
  <c r="Q88" i="2" s="1"/>
  <c r="F89" i="2"/>
  <c r="O91" i="2"/>
  <c r="E92" i="2"/>
  <c r="P89" i="2" l="1"/>
  <c r="Q89" i="2" s="1"/>
  <c r="F90" i="2"/>
  <c r="E93" i="2"/>
  <c r="O92" i="2"/>
  <c r="P90" i="2" l="1"/>
  <c r="Q90" i="2" s="1"/>
  <c r="F91" i="2"/>
  <c r="O93" i="2"/>
  <c r="E94" i="2"/>
  <c r="P91" i="2" l="1"/>
  <c r="Q91" i="2" s="1"/>
  <c r="F92" i="2"/>
  <c r="E95" i="2"/>
  <c r="O94" i="2"/>
  <c r="P92" i="2" l="1"/>
  <c r="Q92" i="2" s="1"/>
  <c r="F93" i="2"/>
  <c r="E96" i="2"/>
  <c r="O95" i="2"/>
  <c r="F94" i="2" l="1"/>
  <c r="P93" i="2"/>
  <c r="Q93" i="2" s="1"/>
  <c r="O96" i="2"/>
  <c r="E97" i="2"/>
  <c r="P94" i="2" l="1"/>
  <c r="Q94" i="2" s="1"/>
  <c r="F95" i="2"/>
  <c r="E98" i="2"/>
  <c r="O97" i="2"/>
  <c r="P95" i="2" l="1"/>
  <c r="Q95" i="2" s="1"/>
  <c r="F96" i="2"/>
  <c r="O98" i="2"/>
  <c r="E99" i="2"/>
  <c r="P96" i="2" l="1"/>
  <c r="Q96" i="2" s="1"/>
  <c r="F97" i="2"/>
  <c r="E100" i="2"/>
  <c r="O99" i="2"/>
  <c r="P97" i="2" l="1"/>
  <c r="Q97" i="2" s="1"/>
  <c r="F98" i="2"/>
  <c r="O100" i="2"/>
  <c r="E101" i="2"/>
  <c r="P98" i="2" l="1"/>
  <c r="Q98" i="2" s="1"/>
  <c r="F99" i="2"/>
  <c r="E102" i="2"/>
  <c r="O101" i="2"/>
  <c r="P99" i="2" l="1"/>
  <c r="Q99" i="2" s="1"/>
  <c r="F100" i="2"/>
  <c r="O102" i="2"/>
  <c r="E103" i="2"/>
  <c r="P100" i="2" l="1"/>
  <c r="Q100" i="2" s="1"/>
  <c r="F101" i="2"/>
  <c r="O103" i="2"/>
  <c r="E104" i="2"/>
  <c r="P101" i="2" l="1"/>
  <c r="Q101" i="2" s="1"/>
  <c r="F102" i="2"/>
  <c r="O104" i="2"/>
  <c r="E105" i="2"/>
  <c r="F103" i="2" l="1"/>
  <c r="P102" i="2"/>
  <c r="Q102" i="2" s="1"/>
  <c r="O105" i="2"/>
  <c r="E106" i="2"/>
  <c r="P103" i="2" l="1"/>
  <c r="Q103" i="2" s="1"/>
  <c r="F104" i="2"/>
  <c r="E107" i="2"/>
  <c r="O106" i="2"/>
  <c r="F105" i="2" l="1"/>
  <c r="P104" i="2"/>
  <c r="Q104" i="2" s="1"/>
  <c r="E108" i="2"/>
  <c r="O107" i="2"/>
  <c r="P105" i="2" l="1"/>
  <c r="Q105" i="2" s="1"/>
  <c r="F106" i="2"/>
  <c r="O108" i="2"/>
  <c r="E109" i="2"/>
  <c r="P106" i="2" l="1"/>
  <c r="Q106" i="2" s="1"/>
  <c r="F107" i="2"/>
  <c r="O109" i="2"/>
  <c r="E110" i="2"/>
  <c r="O110" i="2" s="1"/>
  <c r="P107" i="2" l="1"/>
  <c r="Q107" i="2" s="1"/>
  <c r="F108" i="2"/>
  <c r="P108" i="2" l="1"/>
  <c r="Q108" i="2" s="1"/>
  <c r="F109" i="2"/>
  <c r="P109" i="2" l="1"/>
  <c r="Q109" i="2" s="1"/>
  <c r="F110" i="2"/>
  <c r="P110" i="2" s="1"/>
  <c r="Q110" i="2" s="1"/>
  <c r="Q112" i="2" s="1"/>
  <c r="J25" i="4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F40" authorId="0" shapeId="0" xr:uid="{00000000-0006-0000-0700-000001000000}">
      <text>
        <r>
          <rPr>
            <b/>
            <sz val="9"/>
            <color indexed="81"/>
            <rFont val="Segoe UI"/>
            <family val="2"/>
          </rPr>
          <t>Com adicional de insalubridade</t>
        </r>
      </text>
    </comment>
  </commentList>
</comments>
</file>

<file path=xl/sharedStrings.xml><?xml version="1.0" encoding="utf-8"?>
<sst xmlns="http://schemas.openxmlformats.org/spreadsheetml/2006/main" count="1841" uniqueCount="957">
  <si>
    <t>Mês [m]i</t>
  </si>
  <si>
    <t>Linha (nº)</t>
  </si>
  <si>
    <t>ID</t>
  </si>
  <si>
    <t>Dias úteis</t>
  </si>
  <si>
    <t>Sábados</t>
  </si>
  <si>
    <t>Sem ar condicionado</t>
  </si>
  <si>
    <t>Com ar condicionado</t>
  </si>
  <si>
    <t>Classe do veículo</t>
  </si>
  <si>
    <t>Sem transmissão automática</t>
  </si>
  <si>
    <t>Com transmissão automática</t>
  </si>
  <si>
    <t>Microônibus</t>
  </si>
  <si>
    <t>Miniônibus</t>
  </si>
  <si>
    <t>Midiônibus</t>
  </si>
  <si>
    <t>Ônibus básico</t>
  </si>
  <si>
    <t>Ônibus padron</t>
  </si>
  <si>
    <t>Ônibus articulado</t>
  </si>
  <si>
    <t>Ônibus biarticulado</t>
  </si>
  <si>
    <t>Receita média mensal total do sistema (RT)</t>
  </si>
  <si>
    <t>Média mensal de passageiros pagantes equivalentes (PE)</t>
  </si>
  <si>
    <t>R$</t>
  </si>
  <si>
    <t>3.1.</t>
  </si>
  <si>
    <t>Média mensal da quilometragem programada (KP)</t>
  </si>
  <si>
    <t>3.2.</t>
  </si>
  <si>
    <t>km</t>
  </si>
  <si>
    <t>Quilometragem programada mensal</t>
  </si>
  <si>
    <t>Periodo de análise M (em meses):</t>
  </si>
  <si>
    <t>Domingos / Feriados</t>
  </si>
  <si>
    <t>Índice de passageiro equivalentes por quilômetro (IPKe)</t>
  </si>
  <si>
    <t>3.3.</t>
  </si>
  <si>
    <t>3.4.</t>
  </si>
  <si>
    <r>
      <t>TP</t>
    </r>
    <r>
      <rPr>
        <b/>
        <vertAlign val="subscript"/>
        <sz val="11"/>
        <color indexed="8"/>
        <rFont val="Calibri"/>
        <family val="2"/>
      </rPr>
      <t>1</t>
    </r>
  </si>
  <si>
    <r>
      <t>TP</t>
    </r>
    <r>
      <rPr>
        <b/>
        <vertAlign val="subscript"/>
        <sz val="11"/>
        <color indexed="8"/>
        <rFont val="Calibri"/>
        <family val="2"/>
      </rPr>
      <t>2</t>
    </r>
  </si>
  <si>
    <r>
      <t>TP</t>
    </r>
    <r>
      <rPr>
        <b/>
        <vertAlign val="subscript"/>
        <sz val="11"/>
        <color indexed="8"/>
        <rFont val="Calibri"/>
        <family val="2"/>
      </rPr>
      <t>3</t>
    </r>
  </si>
  <si>
    <r>
      <t>TP</t>
    </r>
    <r>
      <rPr>
        <b/>
        <vertAlign val="subscript"/>
        <sz val="11"/>
        <color indexed="8"/>
        <rFont val="Calibri"/>
        <family val="2"/>
      </rPr>
      <t>4</t>
    </r>
  </si>
  <si>
    <r>
      <t>TP</t>
    </r>
    <r>
      <rPr>
        <b/>
        <vertAlign val="subscript"/>
        <sz val="11"/>
        <color indexed="8"/>
        <rFont val="Calibri"/>
        <family val="2"/>
      </rPr>
      <t>5</t>
    </r>
  </si>
  <si>
    <r>
      <t>TP</t>
    </r>
    <r>
      <rPr>
        <b/>
        <vertAlign val="subscript"/>
        <sz val="11"/>
        <color indexed="8"/>
        <rFont val="Calibri"/>
        <family val="2"/>
      </rPr>
      <t>6</t>
    </r>
  </si>
  <si>
    <r>
      <t>TP</t>
    </r>
    <r>
      <rPr>
        <b/>
        <vertAlign val="subscript"/>
        <sz val="11"/>
        <color indexed="8"/>
        <rFont val="Calibri"/>
        <family val="2"/>
      </rPr>
      <t>7</t>
    </r>
  </si>
  <si>
    <r>
      <t>TP</t>
    </r>
    <r>
      <rPr>
        <b/>
        <vertAlign val="subscript"/>
        <sz val="11"/>
        <color indexed="8"/>
        <rFont val="Calibri"/>
        <family val="2"/>
      </rPr>
      <t>8</t>
    </r>
    <r>
      <rPr>
        <sz val="10"/>
        <rFont val="Arial"/>
        <family val="2"/>
      </rPr>
      <t/>
    </r>
  </si>
  <si>
    <r>
      <t>TP</t>
    </r>
    <r>
      <rPr>
        <b/>
        <vertAlign val="subscript"/>
        <sz val="11"/>
        <color indexed="8"/>
        <rFont val="Calibri"/>
        <family val="2"/>
      </rPr>
      <t>9</t>
    </r>
    <r>
      <rPr>
        <sz val="10"/>
        <rFont val="Arial"/>
        <family val="2"/>
      </rPr>
      <t/>
    </r>
  </si>
  <si>
    <r>
      <t>TP</t>
    </r>
    <r>
      <rPr>
        <b/>
        <vertAlign val="subscript"/>
        <sz val="11"/>
        <color indexed="8"/>
        <rFont val="Calibri"/>
        <family val="2"/>
      </rPr>
      <t>10</t>
    </r>
    <r>
      <rPr>
        <sz val="10"/>
        <rFont val="Arial"/>
        <family val="2"/>
      </rPr>
      <t/>
    </r>
  </si>
  <si>
    <t>pass./km</t>
  </si>
  <si>
    <t>ônibus</t>
  </si>
  <si>
    <t>x FT</t>
  </si>
  <si>
    <t>Óleo diesel (OLD)</t>
  </si>
  <si>
    <t>ARLA 32 (ARL)</t>
  </si>
  <si>
    <t>Rodagem (ROD)</t>
  </si>
  <si>
    <t>Veículo (VEC)</t>
  </si>
  <si>
    <t>Salários e benefícios (SAB)</t>
  </si>
  <si>
    <t>R$/litro</t>
  </si>
  <si>
    <t>litros</t>
  </si>
  <si>
    <t>Lubrificantes (CLB)</t>
  </si>
  <si>
    <t>adimensional</t>
  </si>
  <si>
    <t>Preço do pneu novo</t>
  </si>
  <si>
    <t>Preço da recapagem</t>
  </si>
  <si>
    <t>R$/unidade</t>
  </si>
  <si>
    <t>Valores de Referência de número de recapagens</t>
  </si>
  <si>
    <r>
      <t>β</t>
    </r>
    <r>
      <rPr>
        <i/>
        <sz val="8"/>
        <color indexed="8"/>
        <rFont val="Calibri"/>
        <family val="2"/>
      </rPr>
      <t>Máximo</t>
    </r>
  </si>
  <si>
    <r>
      <t>β</t>
    </r>
    <r>
      <rPr>
        <i/>
        <sz val="8"/>
        <color indexed="8"/>
        <rFont val="Calibri"/>
        <family val="2"/>
      </rPr>
      <t>Minimo</t>
    </r>
  </si>
  <si>
    <t>Valores de Referência para vida útil dos pneus</t>
  </si>
  <si>
    <t>Dimensões</t>
  </si>
  <si>
    <t>215/75 R17,5</t>
  </si>
  <si>
    <t>Tipo</t>
  </si>
  <si>
    <t>275/80 R22,5</t>
  </si>
  <si>
    <t>295/80 R22,5</t>
  </si>
  <si>
    <t xml:space="preserve">Radiais sem câmara </t>
  </si>
  <si>
    <t>Número de Pneus (NP)</t>
  </si>
  <si>
    <t>Especificações de pneus por classe de veículo</t>
  </si>
  <si>
    <t xml:space="preserve">Buscar valor na aba A.IV - Lubrificantes </t>
  </si>
  <si>
    <t>Instrução de preenchimento</t>
  </si>
  <si>
    <t>%</t>
  </si>
  <si>
    <t>Buscar valor no Anexo V</t>
  </si>
  <si>
    <t>Custos Ambientais (CAB)</t>
  </si>
  <si>
    <t>Buscar valor no Anexo VIII</t>
  </si>
  <si>
    <t>R$/veículo</t>
  </si>
  <si>
    <t>Nominador para ponderação do VEC</t>
  </si>
  <si>
    <t>Denominador para ponderação do VEC</t>
  </si>
  <si>
    <t>Combustível (CMB)</t>
  </si>
  <si>
    <t>ARLA 32 (CAR)</t>
  </si>
  <si>
    <t>Rodagem (CRD)</t>
  </si>
  <si>
    <t>Peças e Acessórios (CPA)</t>
  </si>
  <si>
    <t>Consumo total / mês</t>
  </si>
  <si>
    <t>Entrada de dados</t>
  </si>
  <si>
    <t>Resultado</t>
  </si>
  <si>
    <t>Legenda</t>
  </si>
  <si>
    <t>Custo da recapagem por estrato da frota</t>
  </si>
  <si>
    <r>
      <t>Custo da recapagem (REC</t>
    </r>
    <r>
      <rPr>
        <b/>
        <sz val="10"/>
        <color indexed="9"/>
        <rFont val="Calibri"/>
        <family val="2"/>
      </rPr>
      <t>z</t>
    </r>
    <r>
      <rPr>
        <b/>
        <sz val="11"/>
        <color indexed="9"/>
        <rFont val="Calibri"/>
        <family val="2"/>
      </rPr>
      <t>)</t>
    </r>
  </si>
  <si>
    <t>Pesquisa de mercado</t>
  </si>
  <si>
    <t>pneus</t>
  </si>
  <si>
    <t>Custo do pneu novo por estrato da frota</t>
  </si>
  <si>
    <t>Custo de pneus (PNUz)</t>
  </si>
  <si>
    <t>Custo de rodagem por estrato da frota</t>
  </si>
  <si>
    <t>Custo da rodagem (CRD)</t>
  </si>
  <si>
    <r>
      <t>Número de recapagens (</t>
    </r>
    <r>
      <rPr>
        <b/>
        <sz val="11"/>
        <color indexed="9"/>
        <rFont val="Calibri"/>
        <family val="2"/>
      </rPr>
      <t>β</t>
    </r>
    <r>
      <rPr>
        <b/>
        <sz val="11"/>
        <color indexed="9"/>
        <rFont val="Calibri"/>
        <family val="2"/>
      </rPr>
      <t>)</t>
    </r>
  </si>
  <si>
    <t>Entrada de dados com valor de referência</t>
  </si>
  <si>
    <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</si>
  <si>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</si>
  <si>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r>
      <t>Vida útil rodagem (PNU</t>
    </r>
    <r>
      <rPr>
        <b/>
        <sz val="9"/>
        <color indexed="9"/>
        <rFont val="Calibri"/>
        <family val="2"/>
      </rPr>
      <t>z</t>
    </r>
    <r>
      <rPr>
        <b/>
        <sz val="11"/>
        <color indexed="9"/>
        <rFont val="Calibri"/>
        <family val="2"/>
      </rPr>
      <t>)</t>
    </r>
  </si>
  <si>
    <t>Depreciação (CDP)</t>
  </si>
  <si>
    <t>Despesas administrativas (CAD)</t>
  </si>
  <si>
    <t>Locação dos equipamentos e sistemas de bilhetagem e ITS (CLQ)</t>
  </si>
  <si>
    <t>Locação de garagem (CLG)</t>
  </si>
  <si>
    <t>Veículos (DVE)</t>
  </si>
  <si>
    <t>Edificações e equipamentos de garagem (DED)</t>
  </si>
  <si>
    <t>Equipamentos de bilhetagem e ITS (DEQ)</t>
  </si>
  <si>
    <t>Veículos de apoio (DVA)</t>
  </si>
  <si>
    <t>Infraestrutura (DIN)</t>
  </si>
  <si>
    <t>Veículos (RVE)</t>
  </si>
  <si>
    <t>Terrenos, edificações e equipamentos de garagem (RTE)</t>
  </si>
  <si>
    <t>Almoxarifado (RAL)</t>
  </si>
  <si>
    <t>Equipamentos de bilhetagem e ITS (REQ)</t>
  </si>
  <si>
    <t>Veículos de apoio (RVA)</t>
  </si>
  <si>
    <t>Infraestrutura (RIN)</t>
  </si>
  <si>
    <t>Operação (DOP)</t>
  </si>
  <si>
    <t>Pessoal de manutenção, administrativo e diretoria (DMA)</t>
  </si>
  <si>
    <t>Despesas gerais (CDG)</t>
  </si>
  <si>
    <t>Seguro obrigatório e taxa de licenciamento (CDS)</t>
  </si>
  <si>
    <t>Seguro de responsabilidade civil facultativo (CDR)</t>
  </si>
  <si>
    <t>IPVA</t>
  </si>
  <si>
    <t>Classe</t>
  </si>
  <si>
    <t>Idade do veículo</t>
  </si>
  <si>
    <t>Valores de referência para vida útil e valor residual por tipo de veículo</t>
  </si>
  <si>
    <t>Vida Útil (Anos)</t>
  </si>
  <si>
    <t>Valor Residual (%)</t>
  </si>
  <si>
    <t>-</t>
  </si>
  <si>
    <t>&gt;</t>
  </si>
  <si>
    <t>Faixa etária (t) anos</t>
  </si>
  <si>
    <t>Midiônibus e Básico</t>
  </si>
  <si>
    <t xml:space="preserve">Microônibus </t>
  </si>
  <si>
    <t>Número de veículos por classe e idade</t>
  </si>
  <si>
    <t>λz</t>
  </si>
  <si>
    <t>DVE</t>
  </si>
  <si>
    <t>Depreciação dos veículos</t>
  </si>
  <si>
    <t>Depreciação dos veículos - etapa de cálculo</t>
  </si>
  <si>
    <r>
      <t>Fatores mensais de depreciação de veículos (λ</t>
    </r>
    <r>
      <rPr>
        <b/>
        <i/>
        <sz val="8"/>
        <rFont val="Calibri"/>
        <family val="2"/>
      </rPr>
      <t>z</t>
    </r>
    <r>
      <rPr>
        <b/>
        <i/>
        <sz val="11"/>
        <rFont val="Calibri"/>
        <family val="2"/>
      </rPr>
      <t>^[t])</t>
    </r>
  </si>
  <si>
    <t>Valores de referência para vida útil e valor residual das edificações e equipamentos de garagem</t>
  </si>
  <si>
    <t>Equipamentos de garagem</t>
  </si>
  <si>
    <t>ϖ=</t>
  </si>
  <si>
    <t>τ=</t>
  </si>
  <si>
    <t>χ=</t>
  </si>
  <si>
    <t>Equip. Bilhetagem e ITS</t>
  </si>
  <si>
    <t>Veículos de apoio</t>
  </si>
  <si>
    <t xml:space="preserve">Edificações </t>
  </si>
  <si>
    <t>Infraestrutura</t>
  </si>
  <si>
    <t>anos</t>
  </si>
  <si>
    <t>RVE</t>
  </si>
  <si>
    <t>Remuneração dos veículos - etapa de cálculo</t>
  </si>
  <si>
    <t>Capital investido em terrenos, edificações e equipamentos de garagem</t>
  </si>
  <si>
    <t>Coeficientes de remuneração do capital</t>
  </si>
  <si>
    <t>Coeficiente</t>
  </si>
  <si>
    <t xml:space="preserve">Valor </t>
  </si>
  <si>
    <t>ε</t>
  </si>
  <si>
    <t>η</t>
  </si>
  <si>
    <t>RTE =</t>
  </si>
  <si>
    <t>Valor praticado</t>
  </si>
  <si>
    <t>Buscar valor no Anexo XII</t>
  </si>
  <si>
    <t>Buscar valor no Anexo XIII</t>
  </si>
  <si>
    <t>Taxas e Seguros</t>
  </si>
  <si>
    <t>R$/ano</t>
  </si>
  <si>
    <t>R$/mês</t>
  </si>
  <si>
    <t>Serviços de terceiros, compartilhados e locações</t>
  </si>
  <si>
    <t>R$/veículo/ano</t>
  </si>
  <si>
    <t>unidades</t>
  </si>
  <si>
    <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</si>
  <si>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</si>
  <si>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Unidade: dias</t>
  </si>
  <si>
    <t>Unidade: viagens</t>
  </si>
  <si>
    <t>Unidade: km</t>
  </si>
  <si>
    <t>Preço do óleo diesel .....................................................</t>
  </si>
  <si>
    <t>Coeficiente de correlação do consumo de lubrificante relacionado ao consumo de óleo diesel ..........................</t>
  </si>
  <si>
    <t>Preço do Arla 32 ..........................................................</t>
  </si>
  <si>
    <t>Coeficiente de correlação do consumo do ARLA 32 relacionado ao preço do óleo diesel ...............................</t>
  </si>
  <si>
    <t>215/75 R17,6 ..............................</t>
  </si>
  <si>
    <t>275/80 R22,6 ..............................</t>
  </si>
  <si>
    <t>295/80 R22,6 ..............................</t>
  </si>
  <si>
    <r>
      <t>Salário do Motorista (SAL</t>
    </r>
    <r>
      <rPr>
        <i/>
        <sz val="8"/>
        <rFont val="Arial"/>
        <family val="2"/>
      </rPr>
      <t>mot</t>
    </r>
    <r>
      <rPr>
        <i/>
        <sz val="10"/>
        <rFont val="Arial"/>
        <family val="2"/>
      </rPr>
      <t>) .......................................</t>
    </r>
  </si>
  <si>
    <r>
      <t>Benefícios do Motorista (BEN</t>
    </r>
    <r>
      <rPr>
        <i/>
        <sz val="8"/>
        <rFont val="Arial"/>
        <family val="2"/>
      </rPr>
      <t>mot</t>
    </r>
    <r>
      <rPr>
        <i/>
        <sz val="10"/>
        <rFont val="Arial"/>
        <family val="2"/>
      </rPr>
      <t>) .................................</t>
    </r>
  </si>
  <si>
    <r>
      <t>Fator de utilização dos Motoristas (FUT</t>
    </r>
    <r>
      <rPr>
        <i/>
        <sz val="8"/>
        <rFont val="Arial"/>
        <family val="2"/>
      </rPr>
      <t>mot</t>
    </r>
    <r>
      <rPr>
        <i/>
        <sz val="10"/>
        <rFont val="Arial"/>
        <family val="2"/>
      </rPr>
      <t>) ..................</t>
    </r>
  </si>
  <si>
    <r>
      <t>Fator de utilização físico dos Motoristas (FUF</t>
    </r>
    <r>
      <rPr>
        <i/>
        <sz val="8"/>
        <rFont val="Arial"/>
        <family val="2"/>
      </rPr>
      <t>mot</t>
    </r>
    <r>
      <rPr>
        <i/>
        <sz val="10"/>
        <rFont val="Arial"/>
        <family val="2"/>
      </rPr>
      <t>) ..........</t>
    </r>
  </si>
  <si>
    <t>Encargo Social (ECS) ...................................................</t>
  </si>
  <si>
    <t>Despesas  pessoal de manutenção, administrativo e diretoria em relação ao pessoal operacional (Θ) ..............</t>
  </si>
  <si>
    <t>Seguro obrigatório por veículo (VAS ) .............................</t>
  </si>
  <si>
    <t>Taxa de licenciamento por veículo (VAT) ........................</t>
  </si>
  <si>
    <t>Seguro de responsabilidade civil facultativo (CDR) ..........</t>
  </si>
  <si>
    <t>IPVA ...........................................................................</t>
  </si>
  <si>
    <t>Tempo de contrato a partir da data de realização do investimento (DUC) ......................................................</t>
  </si>
  <si>
    <t>Valor do investimento em infraestrutura (VIN) .................</t>
  </si>
  <si>
    <t>Custos de investimento no terreno (CIT) .........................</t>
  </si>
  <si>
    <t>Valor investido em edificações (CIE) ..............................</t>
  </si>
  <si>
    <t>Valor investido em equipamentos de garagem (CIG) ........</t>
  </si>
  <si>
    <t>Valor anual da locação por equipamento locado por veículo (QL) .................................................................</t>
  </si>
  <si>
    <t>Valor anual da locação de cada conjunto de equipamentos (QEL)......................................................</t>
  </si>
  <si>
    <t>Quantidade de conjuntos de equipamentos locados (QEQ) .........................................................................</t>
  </si>
  <si>
    <t>Locação de garagem (CLG) ...........................................</t>
  </si>
  <si>
    <t>Despesas de Comercialização, serviços prestados em terminais/estações de transferência e centrais de controle da operação (CCM) .......................................................</t>
  </si>
  <si>
    <t>Custo Variável</t>
  </si>
  <si>
    <t>Custo Fixo</t>
  </si>
  <si>
    <t>Remuneração da prestação dos serviços (RPS)</t>
  </si>
  <si>
    <t>Imposto sobre serviços de qualquer natureza (ISSQN) ....</t>
  </si>
  <si>
    <t>Programa de integração social (PIS) ..............................</t>
  </si>
  <si>
    <t>Contribuição para o financiamento da seguridade social (COFINS) ....................................................................</t>
  </si>
  <si>
    <t>INSS ...........................................................................</t>
  </si>
  <si>
    <t>ICMS ...........................................................................</t>
  </si>
  <si>
    <t>Cálculo do custo total mensal com impostos e tributos (CT)</t>
  </si>
  <si>
    <t>Detalhado:</t>
  </si>
  <si>
    <t>Consolidado mensal:</t>
  </si>
  <si>
    <t>Deseja informar dados de modo (marcar X):</t>
  </si>
  <si>
    <t>Quilometragem programada média mensal do sistema (consolidada):</t>
  </si>
  <si>
    <t>Custo total</t>
  </si>
  <si>
    <t>Passageiros pagantes</t>
  </si>
  <si>
    <t>0. Instruções</t>
  </si>
  <si>
    <t>são entradas de dados e precisam de preenchimento.</t>
  </si>
  <si>
    <t>são resultados e não devem ser preenchidas.</t>
  </si>
  <si>
    <t>Consumo do Arla 32</t>
  </si>
  <si>
    <t>Valores de referência para Consumo do Arla 32 em ônibus</t>
  </si>
  <si>
    <t>Consumo de Peças e Acessórios</t>
  </si>
  <si>
    <t>Valores de referência para custos ambientais</t>
  </si>
  <si>
    <t>Custos ambientais</t>
  </si>
  <si>
    <t>Média mensal de passageiros pagantes</t>
  </si>
  <si>
    <t>Média mensal consolidada:</t>
  </si>
  <si>
    <r>
      <t>Valor do veículo novo por classe de veículo (VEC</t>
    </r>
    <r>
      <rPr>
        <b/>
        <i/>
        <sz val="8"/>
        <rFont val="Calibri"/>
        <family val="2"/>
      </rPr>
      <t>z</t>
    </r>
    <r>
      <rPr>
        <b/>
        <i/>
        <sz val="11"/>
        <rFont val="Calibri"/>
        <family val="2"/>
      </rPr>
      <t>)</t>
    </r>
  </si>
  <si>
    <t>VEC</t>
  </si>
  <si>
    <r>
      <t>VEC</t>
    </r>
    <r>
      <rPr>
        <b/>
        <sz val="11"/>
        <color indexed="9"/>
        <rFont val="Calibri"/>
        <family val="2"/>
      </rPr>
      <t>[básico]</t>
    </r>
  </si>
  <si>
    <t>Valor do veículo novo por classe de veículo sem rodagem (VECz[Ø])</t>
  </si>
  <si>
    <t>Tarifa pública de preponderante vigente (TPU)</t>
  </si>
  <si>
    <t>litro/km</t>
  </si>
  <si>
    <t>coeficiente de correlação do consumo de lubrificante relacionado ao consumo do óleo diesel</t>
  </si>
  <si>
    <t xml:space="preserve"> l/km</t>
  </si>
  <si>
    <t>Perecentual de referência inclidente sobre despesas DMA</t>
  </si>
  <si>
    <t>Faixa</t>
  </si>
  <si>
    <t>(%)</t>
  </si>
  <si>
    <t>10 a 22</t>
  </si>
  <si>
    <t>23 a 45</t>
  </si>
  <si>
    <t>46 a 78</t>
  </si>
  <si>
    <t>79 a 121</t>
  </si>
  <si>
    <t>Frota</t>
  </si>
  <si>
    <t>122 a 174</t>
  </si>
  <si>
    <t>Preço médio ônibus básico novo .........................</t>
  </si>
  <si>
    <t>Buscar valor na aba 4.7.1.VEC</t>
  </si>
  <si>
    <t>r</t>
  </si>
  <si>
    <t>Vida Útil das Edificações (VUE)</t>
  </si>
  <si>
    <t>Vida Útil dos equipamentos de garagem (VUQ)</t>
  </si>
  <si>
    <t>Fator de correlação entre os custos ambientais e o preço médio do ônibus básico novo ...............................</t>
  </si>
  <si>
    <t>x-a.</t>
  </si>
  <si>
    <t>Fator de remuneração dos equipamentos de bilhetagem e ITS</t>
  </si>
  <si>
    <t>FRE</t>
  </si>
  <si>
    <t>dados de entrada</t>
  </si>
  <si>
    <t>x-b.</t>
  </si>
  <si>
    <t>FRV</t>
  </si>
  <si>
    <t>FRI</t>
  </si>
  <si>
    <t>VUI</t>
  </si>
  <si>
    <t>TRI</t>
  </si>
  <si>
    <t>j</t>
  </si>
  <si>
    <t>médio</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</si>
  <si>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</si>
  <si>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</si>
  <si>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Taxa de Remuneração do Capital (TRC)</t>
  </si>
  <si>
    <t>κz [t]</t>
  </si>
  <si>
    <t>XV</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</si>
  <si>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</si>
  <si>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</si>
  <si>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</si>
  <si>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</si>
  <si>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</si>
  <si>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</si>
  <si>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</si>
  <si>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</si>
  <si>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</si>
  <si>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</si>
  <si>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</si>
  <si>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</si>
  <si>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</si>
  <si>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</si>
  <si>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</si>
  <si>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</si>
  <si>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</si>
  <si>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</si>
  <si>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</si>
  <si>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</si>
  <si>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</si>
  <si>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Dimensão</t>
  </si>
  <si>
    <t>Impacto sobre a equação financeira</t>
  </si>
  <si>
    <t>Situações em Que não se Aplica</t>
  </si>
  <si>
    <t>Risco Médio</t>
  </si>
  <si>
    <t>ATRIBUIÇÃO</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</si>
  <si>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</si>
  <si>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</si>
  <si>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</si>
  <si>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</si>
  <si>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</si>
  <si>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</si>
  <si>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</si>
  <si>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</si>
  <si>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</si>
  <si>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</si>
  <si>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</si>
  <si>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</si>
  <si>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</si>
  <si>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</si>
  <si>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</si>
  <si>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</si>
  <si>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Regulamentação
Ambiental</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</si>
  <si>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</si>
  <si>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</si>
  <si>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de certificação ambiental para todos os bens móveis e imóveis da empresa operadora</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</si>
  <si>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</si>
  <si>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</si>
  <si>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</si>
  <si>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</si>
  <si>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</si>
  <si>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</si>
  <si>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Projetos integralmente remunerados com base em custo (ponderação entre frota disponibilizada e km percorrida), em que a demanda não influencie a remuneração da empresa operadora.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</si>
  <si>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</si>
  <si>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</si>
  <si>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</si>
  <si>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</si>
  <si>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</si>
  <si>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</si>
  <si>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</si>
  <si>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</si>
  <si>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</si>
  <si>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Previsão contratual de sanções para o Poder Concedente por inadimplemento de obrigações contratuais.</t>
  </si>
  <si>
    <t>Inexistência de mecanismos de sanção formal do Poder Público por inadimplemento de obrigações contratuais.</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</si>
  <si>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</si>
  <si>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</si>
  <si>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</si>
  <si>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Atrasos no repasse de recursos ou insuficiência de recursos na câmara de compensação podem resultar nas situações de constrição financeira acima descritas.</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</si>
  <si>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</si>
  <si>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</si>
  <si>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</si>
  <si>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</si>
  <si>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</si>
  <si>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</si>
  <si>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</si>
  <si>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</si>
  <si>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</si>
  <si>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</si>
  <si>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</si>
  <si>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</si>
  <si>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</si>
  <si>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</si>
  <si>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</si>
  <si>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</si>
  <si>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</si>
  <si>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Questões 
Trabalhistas</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</si>
  <si>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</si>
  <si>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</si>
  <si>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</si>
  <si>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</si>
  <si>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</si>
  <si>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</si>
  <si>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</si>
  <si>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</si>
  <si>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Inexistência de previsão contratual atribui a assunção integral deste risco à empresa concessionária.</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</si>
  <si>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</si>
  <si>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</si>
  <si>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</si>
  <si>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</si>
  <si>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</si>
  <si>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Não se Aplica</t>
  </si>
  <si>
    <t>Gratuidades</t>
  </si>
  <si>
    <t>XV-e</t>
  </si>
  <si>
    <t>Cálculo dos riscos</t>
  </si>
  <si>
    <t>Incidência</t>
  </si>
  <si>
    <t>Impacto de Evento a 5%</t>
  </si>
  <si>
    <t>Desvio Padrão</t>
  </si>
  <si>
    <t>Variância</t>
  </si>
  <si>
    <t>Nível de Segurança</t>
  </si>
  <si>
    <t>Risco adotado (%)</t>
  </si>
  <si>
    <t>XV-f</t>
  </si>
  <si>
    <t xml:space="preserve">Definição do Nível de Segurança </t>
  </si>
  <si>
    <t>Buscar valor no Anexo XV</t>
  </si>
  <si>
    <t xml:space="preserve">Taxa de remuneração do serviço (RPS) </t>
  </si>
  <si>
    <t>Taxa de remuneração do serviço (RPS)  ......................</t>
  </si>
  <si>
    <t>DESCRIÇÃO</t>
  </si>
  <si>
    <t>VALOR MENSAL</t>
  </si>
  <si>
    <t>CUSTO/KM</t>
  </si>
  <si>
    <t>CUSTO/VEÍCULO</t>
  </si>
  <si>
    <t>REMUNERAÇÃO PELA PRESTAÇÃO DE SERVIÇO (RPS)</t>
  </si>
  <si>
    <t>ICMS...............................................................................................................................................................................................................</t>
  </si>
  <si>
    <t>Taxa de gerenciamento.........................................................................................................................................................................................</t>
  </si>
  <si>
    <t>PIS..................................................................................................................................................................................................................</t>
  </si>
  <si>
    <t>subtotal</t>
  </si>
  <si>
    <t>Deseja calcular o coeficiente de remuneração da prestação de serviço (marcar X):</t>
  </si>
  <si>
    <t>Metodologia simplificada</t>
  </si>
  <si>
    <t>Metodologia detalhada</t>
  </si>
  <si>
    <t>(ir para o item XV.a)</t>
  </si>
  <si>
    <t>(ir para o item XV.d)</t>
  </si>
  <si>
    <t xml:space="preserve">μ </t>
  </si>
  <si>
    <t>5 a 6 anos</t>
  </si>
  <si>
    <t>acima de 10 anos</t>
  </si>
  <si>
    <t>Valor Residual das Edificações (VRE)</t>
  </si>
  <si>
    <t>Buscar valor no Anexo IX</t>
  </si>
  <si>
    <t>Classificação do veículo</t>
  </si>
  <si>
    <t>Caminhão-oficina</t>
  </si>
  <si>
    <t>Caminhão-guincho</t>
  </si>
  <si>
    <t>Caminhoneta</t>
  </si>
  <si>
    <t>Automóvel (básico)</t>
  </si>
  <si>
    <t>Motocicleta</t>
  </si>
  <si>
    <t>Valor do veículo</t>
  </si>
  <si>
    <t>Valores de referência para vida útil e valor residual dos veículos de apoio</t>
  </si>
  <si>
    <t xml:space="preserve">Valor Residual </t>
  </si>
  <si>
    <t>meses</t>
  </si>
  <si>
    <t>Valor do investimento (veículos de apoio )</t>
  </si>
  <si>
    <t>Jornada de Trabalho Comumente Utilizadas</t>
  </si>
  <si>
    <t>Duração Equivalente da Operação - Dia útil</t>
  </si>
  <si>
    <t xml:space="preserve">Tabela de referência para o cálculo do Fator de Utilização </t>
  </si>
  <si>
    <t>Matriz de Riscos e Atribuições</t>
  </si>
  <si>
    <t>Outras despesas</t>
  </si>
  <si>
    <t>Total de Material de consumo</t>
  </si>
  <si>
    <t>Total de Serviços públicos</t>
  </si>
  <si>
    <t>Total de Serviço de comunicação</t>
  </si>
  <si>
    <t>Total de Serviço terceirizados</t>
  </si>
  <si>
    <t>Material de limpeza.....................................................................</t>
  </si>
  <si>
    <t>Material de escritório...............................................................................</t>
  </si>
  <si>
    <t>Material de consumo de informática............................................................</t>
  </si>
  <si>
    <t>Material de manutenção predial......................................................</t>
  </si>
  <si>
    <t>Água e esgoto......................................................................</t>
  </si>
  <si>
    <t>Energia elétrica................................................................................</t>
  </si>
  <si>
    <t>Correios...........................................................................</t>
  </si>
  <si>
    <t>Telefone................................................................................</t>
  </si>
  <si>
    <t>Internet...............................................................................</t>
  </si>
  <si>
    <r>
      <rPr>
        <b/>
        <sz val="10"/>
        <rFont val="Arial"/>
        <family val="2"/>
      </rPr>
      <t>Frete e carretos</t>
    </r>
    <r>
      <rPr>
        <sz val="10"/>
        <rFont val="Arial"/>
        <family val="2"/>
      </rPr>
      <t>...................................................................</t>
    </r>
  </si>
  <si>
    <r>
      <rPr>
        <b/>
        <sz val="10"/>
        <rFont val="Arial"/>
        <family val="2"/>
      </rPr>
      <t>Imposto Predial e Territorial Urbano (IPTU)</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</si>
  <si>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</si>
  <si>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</si>
  <si>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manutenção predial...........................</t>
  </si>
  <si>
    <t>Serviços terceirizados na área contábil...................................</t>
  </si>
  <si>
    <t>Serviços terceirizados na área de medicina do trabalho....................</t>
  </si>
  <si>
    <t>Serviços terceirizados na área jurídica..................................</t>
  </si>
  <si>
    <t>Serviços terceirizados na área de informática............................</t>
  </si>
  <si>
    <r>
      <rPr>
        <b/>
        <sz val="10"/>
        <rFont val="Arial"/>
        <family val="2"/>
      </rPr>
      <t>Outros</t>
    </r>
    <r>
      <rPr>
        <sz val="10"/>
        <rFont val="Arial"/>
        <family val="2"/>
      </rPr>
      <t>..........................................................................................</t>
    </r>
  </si>
  <si>
    <t>.</t>
  </si>
  <si>
    <t>Buscar valor no Anexo XVI</t>
  </si>
  <si>
    <t>Despesas gerais (CDG)................................................................................</t>
  </si>
  <si>
    <r>
      <t>TP</t>
    </r>
    <r>
      <rPr>
        <b/>
        <i/>
        <vertAlign val="subscript"/>
        <sz val="11"/>
        <color indexed="8"/>
        <rFont val="Calibri"/>
        <family val="2"/>
      </rPr>
      <t>1</t>
    </r>
  </si>
  <si>
    <r>
      <t>TP</t>
    </r>
    <r>
      <rPr>
        <b/>
        <i/>
        <vertAlign val="subscript"/>
        <sz val="11"/>
        <color indexed="8"/>
        <rFont val="Calibri"/>
        <family val="2"/>
      </rPr>
      <t>2</t>
    </r>
  </si>
  <si>
    <r>
      <t>TP</t>
    </r>
    <r>
      <rPr>
        <b/>
        <i/>
        <vertAlign val="subscript"/>
        <sz val="11"/>
        <color indexed="8"/>
        <rFont val="Calibri"/>
        <family val="2"/>
      </rPr>
      <t>3</t>
    </r>
  </si>
  <si>
    <r>
      <t>TP</t>
    </r>
    <r>
      <rPr>
        <b/>
        <i/>
        <vertAlign val="subscript"/>
        <sz val="11"/>
        <color indexed="8"/>
        <rFont val="Calibri"/>
        <family val="2"/>
      </rPr>
      <t>4</t>
    </r>
  </si>
  <si>
    <r>
      <t>TP</t>
    </r>
    <r>
      <rPr>
        <b/>
        <i/>
        <vertAlign val="subscript"/>
        <sz val="11"/>
        <color indexed="8"/>
        <rFont val="Calibri"/>
        <family val="2"/>
      </rPr>
      <t>5</t>
    </r>
  </si>
  <si>
    <r>
      <t>TP</t>
    </r>
    <r>
      <rPr>
        <b/>
        <i/>
        <vertAlign val="subscript"/>
        <sz val="11"/>
        <color indexed="8"/>
        <rFont val="Calibri"/>
        <family val="2"/>
      </rPr>
      <t>6</t>
    </r>
  </si>
  <si>
    <r>
      <t>TP</t>
    </r>
    <r>
      <rPr>
        <b/>
        <i/>
        <vertAlign val="subscript"/>
        <sz val="11"/>
        <color indexed="8"/>
        <rFont val="Calibri"/>
        <family val="2"/>
      </rPr>
      <t>7</t>
    </r>
  </si>
  <si>
    <r>
      <t>TP</t>
    </r>
    <r>
      <rPr>
        <b/>
        <i/>
        <vertAlign val="subscript"/>
        <sz val="11"/>
        <color indexed="8"/>
        <rFont val="Calibri"/>
        <family val="2"/>
      </rPr>
      <t>8</t>
    </r>
    <r>
      <rPr>
        <sz val="10"/>
        <rFont val="Arial"/>
        <family val="2"/>
      </rPr>
      <t/>
    </r>
  </si>
  <si>
    <r>
      <t>TP</t>
    </r>
    <r>
      <rPr>
        <b/>
        <i/>
        <vertAlign val="subscript"/>
        <sz val="11"/>
        <color indexed="8"/>
        <rFont val="Calibri"/>
        <family val="2"/>
      </rPr>
      <t>9</t>
    </r>
    <r>
      <rPr>
        <sz val="10"/>
        <rFont val="Arial"/>
        <family val="2"/>
      </rPr>
      <t/>
    </r>
  </si>
  <si>
    <r>
      <t>TP</t>
    </r>
    <r>
      <rPr>
        <b/>
        <i/>
        <vertAlign val="subscript"/>
        <sz val="11"/>
        <color indexed="8"/>
        <rFont val="Calibri"/>
        <family val="2"/>
      </rPr>
      <t>10</t>
    </r>
    <r>
      <rPr>
        <sz val="10"/>
        <rFont val="Arial"/>
        <family val="2"/>
      </rPr>
      <t/>
    </r>
  </si>
  <si>
    <r>
      <t>Tarifas públicas "i" vigentes (</t>
    </r>
    <r>
      <rPr>
        <b/>
        <i/>
        <sz val="11"/>
        <color indexed="9"/>
        <rFont val="Calibri"/>
        <family val="2"/>
      </rPr>
      <t>TPi</t>
    </r>
    <r>
      <rPr>
        <b/>
        <sz val="11"/>
        <color indexed="9"/>
        <rFont val="Calibri"/>
        <family val="2"/>
      </rPr>
      <t>) (em R$)</t>
    </r>
  </si>
  <si>
    <t>Comum</t>
  </si>
  <si>
    <t>Vale-Transporte</t>
  </si>
  <si>
    <t>Estudante</t>
  </si>
  <si>
    <t>Gratuidade</t>
  </si>
  <si>
    <t>Outros</t>
  </si>
  <si>
    <t>Passageiros Transportados (PT)</t>
  </si>
  <si>
    <r>
      <rPr>
        <b/>
        <sz val="11"/>
        <rFont val="Calibri"/>
        <family val="2"/>
      </rPr>
      <t xml:space="preserve">1.1.2. Passageiros Equivalentes </t>
    </r>
    <r>
      <rPr>
        <b/>
        <i/>
        <sz val="11"/>
        <rFont val="Calibri"/>
        <family val="2"/>
      </rPr>
      <t>(PE)</t>
    </r>
  </si>
  <si>
    <t>1.1 Passageiros</t>
  </si>
  <si>
    <r>
      <rPr>
        <b/>
        <sz val="11"/>
        <rFont val="Calibri"/>
        <family val="2"/>
      </rPr>
      <t>1.1.2</t>
    </r>
    <r>
      <rPr>
        <b/>
        <i/>
        <sz val="11"/>
        <rFont val="Calibri"/>
        <family val="2"/>
      </rPr>
      <t>.b Deseja informar dados de modo (marcar X):</t>
    </r>
  </si>
  <si>
    <r>
      <t xml:space="preserve">(ir para o item </t>
    </r>
    <r>
      <rPr>
        <b/>
        <sz val="11"/>
        <rFont val="Calibri"/>
        <family val="2"/>
      </rPr>
      <t>1.1.2</t>
    </r>
    <r>
      <rPr>
        <b/>
        <i/>
        <sz val="11"/>
        <rFont val="Calibri"/>
        <family val="2"/>
      </rPr>
      <t>.c)</t>
    </r>
  </si>
  <si>
    <r>
      <t xml:space="preserve">(ir para o item </t>
    </r>
    <r>
      <rPr>
        <b/>
        <sz val="11"/>
        <rFont val="Calibri"/>
        <family val="2"/>
      </rPr>
      <t>1.1.2</t>
    </r>
    <r>
      <rPr>
        <b/>
        <i/>
        <sz val="11"/>
        <rFont val="Calibri"/>
        <family val="2"/>
      </rPr>
      <t>.d)</t>
    </r>
  </si>
  <si>
    <r>
      <rPr>
        <b/>
        <sz val="11"/>
        <rFont val="Calibri"/>
        <family val="2"/>
      </rPr>
      <t>1.1.2</t>
    </r>
    <r>
      <rPr>
        <b/>
        <i/>
        <sz val="11"/>
        <rFont val="Calibri"/>
        <family val="2"/>
      </rPr>
      <t>.a Tarifa Pública Vigente (TPU)</t>
    </r>
  </si>
  <si>
    <r>
      <t>[m]</t>
    </r>
    <r>
      <rPr>
        <b/>
        <i/>
        <sz val="11"/>
        <color indexed="8"/>
        <rFont val="Calibri"/>
        <family val="2"/>
      </rPr>
      <t>1</t>
    </r>
  </si>
  <si>
    <r>
      <t>[m]</t>
    </r>
    <r>
      <rPr>
        <b/>
        <i/>
        <sz val="11"/>
        <color indexed="8"/>
        <rFont val="Calibri"/>
        <family val="2"/>
      </rPr>
      <t>2</t>
    </r>
    <r>
      <rPr>
        <sz val="10"/>
        <rFont val="Arial"/>
        <family val="2"/>
      </rPr>
      <t/>
    </r>
  </si>
  <si>
    <r>
      <t>[m]</t>
    </r>
    <r>
      <rPr>
        <b/>
        <i/>
        <sz val="11"/>
        <color indexed="8"/>
        <rFont val="Calibri"/>
        <family val="2"/>
      </rPr>
      <t>3</t>
    </r>
    <r>
      <rPr>
        <sz val="10"/>
        <rFont val="Arial"/>
        <family val="2"/>
      </rPr>
      <t/>
    </r>
  </si>
  <si>
    <r>
      <t>[m]</t>
    </r>
    <r>
      <rPr>
        <b/>
        <i/>
        <sz val="11"/>
        <color indexed="8"/>
        <rFont val="Calibri"/>
        <family val="2"/>
      </rPr>
      <t>4</t>
    </r>
    <r>
      <rPr>
        <sz val="10"/>
        <rFont val="Arial"/>
        <family val="2"/>
      </rPr>
      <t/>
    </r>
  </si>
  <si>
    <r>
      <t>[m]</t>
    </r>
    <r>
      <rPr>
        <b/>
        <i/>
        <sz val="11"/>
        <color indexed="8"/>
        <rFont val="Calibri"/>
        <family val="2"/>
      </rPr>
      <t>5</t>
    </r>
    <r>
      <rPr>
        <sz val="10"/>
        <rFont val="Arial"/>
        <family val="2"/>
      </rPr>
      <t/>
    </r>
  </si>
  <si>
    <r>
      <t>[m]</t>
    </r>
    <r>
      <rPr>
        <b/>
        <i/>
        <sz val="11"/>
        <color indexed="8"/>
        <rFont val="Calibri"/>
        <family val="2"/>
      </rPr>
      <t>6</t>
    </r>
    <r>
      <rPr>
        <sz val="10"/>
        <rFont val="Arial"/>
        <family val="2"/>
      </rPr>
      <t/>
    </r>
  </si>
  <si>
    <r>
      <t>[m]</t>
    </r>
    <r>
      <rPr>
        <b/>
        <i/>
        <sz val="11"/>
        <color indexed="8"/>
        <rFont val="Calibri"/>
        <family val="2"/>
      </rPr>
      <t>7</t>
    </r>
    <r>
      <rPr>
        <sz val="10"/>
        <rFont val="Arial"/>
        <family val="2"/>
      </rPr>
      <t/>
    </r>
  </si>
  <si>
    <r>
      <t>[m]</t>
    </r>
    <r>
      <rPr>
        <b/>
        <i/>
        <sz val="11"/>
        <color indexed="8"/>
        <rFont val="Calibri"/>
        <family val="2"/>
      </rPr>
      <t>8</t>
    </r>
    <r>
      <rPr>
        <sz val="10"/>
        <rFont val="Arial"/>
        <family val="2"/>
      </rPr>
      <t/>
    </r>
  </si>
  <si>
    <r>
      <t>[m]</t>
    </r>
    <r>
      <rPr>
        <b/>
        <i/>
        <sz val="11"/>
        <color indexed="8"/>
        <rFont val="Calibri"/>
        <family val="2"/>
      </rPr>
      <t>9</t>
    </r>
    <r>
      <rPr>
        <sz val="10"/>
        <rFont val="Arial"/>
        <family val="2"/>
      </rPr>
      <t/>
    </r>
  </si>
  <si>
    <r>
      <t>[m]</t>
    </r>
    <r>
      <rPr>
        <b/>
        <i/>
        <sz val="11"/>
        <color indexed="8"/>
        <rFont val="Calibri"/>
        <family val="2"/>
      </rPr>
      <t>10</t>
    </r>
    <r>
      <rPr>
        <sz val="10"/>
        <rFont val="Arial"/>
        <family val="2"/>
      </rPr>
      <t/>
    </r>
  </si>
  <si>
    <r>
      <t>[m]</t>
    </r>
    <r>
      <rPr>
        <b/>
        <i/>
        <sz val="11"/>
        <color indexed="8"/>
        <rFont val="Calibri"/>
        <family val="2"/>
      </rPr>
      <t>11</t>
    </r>
    <r>
      <rPr>
        <sz val="10"/>
        <rFont val="Arial"/>
        <family val="2"/>
      </rPr>
      <t/>
    </r>
  </si>
  <si>
    <r>
      <t>[m]</t>
    </r>
    <r>
      <rPr>
        <b/>
        <i/>
        <sz val="11"/>
        <color indexed="8"/>
        <rFont val="Calibri"/>
        <family val="2"/>
      </rPr>
      <t>12</t>
    </r>
    <r>
      <rPr>
        <sz val="10"/>
        <rFont val="Arial"/>
        <family val="2"/>
      </rPr>
      <t/>
    </r>
  </si>
  <si>
    <t>Passageiros Pagantes por mês [m] e Tarifa Pública [TP]i (passageiros/mês)</t>
  </si>
  <si>
    <r>
      <rPr>
        <b/>
        <sz val="11"/>
        <rFont val="Calibri"/>
        <family val="2"/>
      </rPr>
      <t>1.1.2</t>
    </r>
    <r>
      <rPr>
        <b/>
        <i/>
        <sz val="11"/>
        <rFont val="Calibri"/>
        <family val="2"/>
      </rPr>
      <t>.c. Passageiros pagantes por tarifa pública (Anexo I)</t>
    </r>
  </si>
  <si>
    <t>1.1.2.d. Média mensal de Passageiros pagantes por tarifa pública</t>
  </si>
  <si>
    <t>1.1.2.e.  Receita média mensal por tarifa pública (RT)</t>
  </si>
  <si>
    <t>Receita média mensal por tarifa pública (em R$)</t>
  </si>
  <si>
    <t>1.2 Quilometragem Programada (KP)</t>
  </si>
  <si>
    <r>
      <rPr>
        <b/>
        <sz val="10"/>
        <rFont val="Calibri"/>
        <family val="2"/>
      </rPr>
      <t>1.2</t>
    </r>
    <r>
      <rPr>
        <b/>
        <i/>
        <sz val="10"/>
        <rFont val="Calibri"/>
        <family val="2"/>
      </rPr>
      <t>.a.</t>
    </r>
  </si>
  <si>
    <r>
      <rPr>
        <b/>
        <sz val="10"/>
        <rFont val="Calibri"/>
        <family val="2"/>
      </rPr>
      <t>1.2</t>
    </r>
    <r>
      <rPr>
        <b/>
        <i/>
        <sz val="10"/>
        <rFont val="Calibri"/>
        <family val="2"/>
      </rPr>
      <t>.b.</t>
    </r>
  </si>
  <si>
    <r>
      <rPr>
        <b/>
        <sz val="10"/>
        <rFont val="Calibri"/>
        <family val="2"/>
      </rPr>
      <t>1.2</t>
    </r>
    <r>
      <rPr>
        <b/>
        <i/>
        <sz val="10"/>
        <rFont val="Calibri"/>
        <family val="2"/>
      </rPr>
      <t>.c.</t>
    </r>
  </si>
  <si>
    <r>
      <rPr>
        <b/>
        <sz val="10"/>
        <rFont val="Calibri"/>
        <family val="2"/>
      </rPr>
      <t>1.2</t>
    </r>
    <r>
      <rPr>
        <b/>
        <i/>
        <sz val="10"/>
        <rFont val="Calibri"/>
        <family val="2"/>
      </rPr>
      <t>.d.</t>
    </r>
  </si>
  <si>
    <r>
      <t xml:space="preserve">(ir para o item </t>
    </r>
    <r>
      <rPr>
        <b/>
        <sz val="10"/>
        <rFont val="Calibri"/>
        <family val="2"/>
      </rPr>
      <t>1.2</t>
    </r>
    <r>
      <rPr>
        <b/>
        <i/>
        <sz val="10"/>
        <rFont val="Calibri"/>
        <family val="2"/>
      </rPr>
      <t>.c)</t>
    </r>
  </si>
  <si>
    <r>
      <t xml:space="preserve">(ir para o item </t>
    </r>
    <r>
      <rPr>
        <b/>
        <sz val="10"/>
        <rFont val="Calibri"/>
        <family val="2"/>
      </rPr>
      <t>1.2</t>
    </r>
    <r>
      <rPr>
        <b/>
        <i/>
        <sz val="10"/>
        <rFont val="Calibri"/>
        <family val="2"/>
      </rPr>
      <t>.d)</t>
    </r>
  </si>
  <si>
    <t>Extensão programada:</t>
  </si>
  <si>
    <t>Quilometragem programanda por linha (detalhada)[Anexo II]:</t>
  </si>
  <si>
    <t>Quant. de dias de operação no período de análise M (QD[K])</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</si>
  <si>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</si>
  <si>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</si>
  <si>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</si>
  <si>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</si>
  <si>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</si>
  <si>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</si>
  <si>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5t</t>
  </si>
  <si>
    <t>8t</t>
  </si>
  <si>
    <t>10t</t>
  </si>
  <si>
    <t>16t</t>
  </si>
  <si>
    <t>26t</t>
  </si>
  <si>
    <t>36t</t>
  </si>
  <si>
    <t>7,4m</t>
  </si>
  <si>
    <t>9,6m</t>
  </si>
  <si>
    <t>14m</t>
  </si>
  <si>
    <t>18,6m</t>
  </si>
  <si>
    <t>30m</t>
  </si>
  <si>
    <t>11,5m</t>
  </si>
  <si>
    <t>Entre 10 e 20 passageiros (exclusivamente sentados)</t>
  </si>
  <si>
    <t>Mínimo de 30 passageiros (sentados e em pé)</t>
  </si>
  <si>
    <t>Mínimo de 40 passageiros  (sentados e em pé)</t>
  </si>
  <si>
    <t>Mínimo de 70 passageiros  (sentados e em pé)</t>
  </si>
  <si>
    <t>Mínimo de 80 passageiros  (sentados e em pé)</t>
  </si>
  <si>
    <t>Mínimo de 100 passageiros  (sentados e em pé)</t>
  </si>
  <si>
    <t>Mínimo de 160 passageiros  (sentados e em pé)</t>
  </si>
  <si>
    <t xml:space="preserve">1.3.2. Cálculo da Frota </t>
  </si>
  <si>
    <r>
      <t>1.3.2.</t>
    </r>
    <r>
      <rPr>
        <b/>
        <i/>
        <sz val="11"/>
        <rFont val="Calibri"/>
        <family val="2"/>
      </rPr>
      <t>a</t>
    </r>
    <r>
      <rPr>
        <b/>
        <sz val="11"/>
        <rFont val="Calibri"/>
        <family val="2"/>
      </rPr>
      <t xml:space="preserve"> Composição da frota (tipologia do veículo)</t>
    </r>
  </si>
  <si>
    <t>1.3.2.b Composição da frota (classe e idade do veículo)</t>
  </si>
  <si>
    <r>
      <t>1.3.2.</t>
    </r>
    <r>
      <rPr>
        <b/>
        <i/>
        <sz val="11"/>
        <rFont val="Calibri"/>
        <family val="2"/>
      </rPr>
      <t>c</t>
    </r>
    <r>
      <rPr>
        <b/>
        <sz val="11"/>
        <rFont val="Calibri"/>
        <family val="2"/>
      </rPr>
      <t xml:space="preserve"> Composição da frota (veículos de apoio)</t>
    </r>
  </si>
  <si>
    <t>1.4 Indicadores</t>
  </si>
  <si>
    <t>1.4.1. Índice de Passageiros por Quilômetro (IPK)</t>
  </si>
  <si>
    <r>
      <rPr>
        <b/>
        <sz val="11"/>
        <rFont val="Calibri"/>
        <family val="2"/>
      </rPr>
      <t>1.1.1. Passageiros Transportados</t>
    </r>
    <r>
      <rPr>
        <b/>
        <i/>
        <sz val="11"/>
        <rFont val="Calibri"/>
        <family val="2"/>
      </rPr>
      <t xml:space="preserve"> por mês (PT)</t>
    </r>
  </si>
  <si>
    <t>Média mensal de passageiros transportados (PT)</t>
  </si>
  <si>
    <t>1.4.2. Percurso Médio Mensal (PMM)</t>
  </si>
  <si>
    <t>Frota operante =</t>
  </si>
  <si>
    <t>Frota funcional =</t>
  </si>
  <si>
    <t>Frota total=</t>
  </si>
  <si>
    <t>Percurso Médio Mensal</t>
  </si>
  <si>
    <t>km/veículo</t>
  </si>
  <si>
    <t>1.4.3. Passageiros Transportados por Veículos por Dia (PVD)</t>
  </si>
  <si>
    <t>Passageiros transportados por dia</t>
  </si>
  <si>
    <t>Periodo de análise N (em dias)</t>
  </si>
  <si>
    <t>dias</t>
  </si>
  <si>
    <t>Pass/veículo/dia</t>
  </si>
  <si>
    <t>1.4.4. Passageiros Equivalentes por Veículos (PMV)</t>
  </si>
  <si>
    <t>Passageiros equivalentes por veículo</t>
  </si>
  <si>
    <t>1.4.1.1</t>
  </si>
  <si>
    <t>1.4.1.2</t>
  </si>
  <si>
    <t>1.4.1.3</t>
  </si>
  <si>
    <t>1.4.1.4</t>
  </si>
  <si>
    <t>1.4.1.5</t>
  </si>
  <si>
    <t>1.4.1.6</t>
  </si>
  <si>
    <t>1.4.1.7</t>
  </si>
  <si>
    <t>1.4.2.1</t>
  </si>
  <si>
    <t>1.4.2.2</t>
  </si>
  <si>
    <t>1.4.2.3</t>
  </si>
  <si>
    <t>1.4.2.4</t>
  </si>
  <si>
    <t>1.4.3.1</t>
  </si>
  <si>
    <t>1.4.3.2</t>
  </si>
  <si>
    <t>1.4.4.1</t>
  </si>
  <si>
    <t>2.1.a Consumo de Combustível</t>
  </si>
  <si>
    <t>2.1.b.i</t>
  </si>
  <si>
    <t>2.1.b.ii</t>
  </si>
  <si>
    <t>2.1.b.iii</t>
  </si>
  <si>
    <t>2.1.b.iv</t>
  </si>
  <si>
    <t>2.1</t>
  </si>
  <si>
    <t>2.1.1</t>
  </si>
  <si>
    <t>2.1.2</t>
  </si>
  <si>
    <t>2.1.3</t>
  </si>
  <si>
    <t>2.1.4</t>
  </si>
  <si>
    <t>2.1.5</t>
  </si>
  <si>
    <t>2.1.6</t>
  </si>
  <si>
    <t>2.2</t>
  </si>
  <si>
    <t>2.2.1.1</t>
  </si>
  <si>
    <t>2.2.1.2</t>
  </si>
  <si>
    <t>2.2.1.3</t>
  </si>
  <si>
    <t>2.2.1.4</t>
  </si>
  <si>
    <t>2.2.1.5</t>
  </si>
  <si>
    <t>2.2.2.</t>
  </si>
  <si>
    <t>2.2.1.</t>
  </si>
  <si>
    <t>2.2.2.1</t>
  </si>
  <si>
    <t>2.2.2.2</t>
  </si>
  <si>
    <t>2.2.2.3</t>
  </si>
  <si>
    <t>2.2.2.4</t>
  </si>
  <si>
    <t>2.2.2.5</t>
  </si>
  <si>
    <t>2.2.2.6</t>
  </si>
  <si>
    <t>Remuneração do Capital Imobilizado (CRC)</t>
  </si>
  <si>
    <t>Custos com pessoal (CPS)</t>
  </si>
  <si>
    <t>2.2.3.</t>
  </si>
  <si>
    <t>2.2.3.1</t>
  </si>
  <si>
    <t>2.2.3.2</t>
  </si>
  <si>
    <t>2.2.4.</t>
  </si>
  <si>
    <t>2.2.4.1</t>
  </si>
  <si>
    <t>2.2.4.2</t>
  </si>
  <si>
    <t>2.2.4.3</t>
  </si>
  <si>
    <t>2.2.4.4</t>
  </si>
  <si>
    <t>2.2.4.5</t>
  </si>
  <si>
    <t>2.2.5.</t>
  </si>
  <si>
    <t>2.2.6.</t>
  </si>
  <si>
    <t>2.2.7.</t>
  </si>
  <si>
    <t>Locação de Veículos de Apoio (CLA)</t>
  </si>
  <si>
    <t>Outras despesas operacionais (CCM)</t>
  </si>
  <si>
    <t>2.3</t>
  </si>
  <si>
    <t>2.3.1.</t>
  </si>
  <si>
    <t>2.3.2.</t>
  </si>
  <si>
    <t>2.4</t>
  </si>
  <si>
    <t>4.</t>
  </si>
  <si>
    <t>ANEXO IV – RELAÇÃO ENTRE O PREÇO DE LUBRIFICANTES E CONSUMO DE ÓLEO DIESEL</t>
  </si>
  <si>
    <t>3.5</t>
  </si>
  <si>
    <t>3.6</t>
  </si>
  <si>
    <t>3.7</t>
  </si>
  <si>
    <t>3.8</t>
  </si>
  <si>
    <t>3.9</t>
  </si>
  <si>
    <t>3.10</t>
  </si>
  <si>
    <t>3.11</t>
  </si>
  <si>
    <t>3.12</t>
  </si>
  <si>
    <t>3.13</t>
  </si>
  <si>
    <t>3.14</t>
  </si>
  <si>
    <t>3.15</t>
  </si>
  <si>
    <t>3.1.1</t>
  </si>
  <si>
    <t>3.2.1</t>
  </si>
  <si>
    <t>3.3.1</t>
  </si>
  <si>
    <t>3.3.2</t>
  </si>
  <si>
    <t>3.4.1</t>
  </si>
  <si>
    <t>3.4.2</t>
  </si>
  <si>
    <t>3.5.1</t>
  </si>
  <si>
    <t>3.6.1</t>
  </si>
  <si>
    <t>3.7.1</t>
  </si>
  <si>
    <t>3.7.2</t>
  </si>
  <si>
    <t>3.7.3</t>
  </si>
  <si>
    <t>3.7.4</t>
  </si>
  <si>
    <t>3.7.5</t>
  </si>
  <si>
    <t>3.7.6</t>
  </si>
  <si>
    <t>3.7.7</t>
  </si>
  <si>
    <t>3.7.8</t>
  </si>
  <si>
    <t>3.7.9</t>
  </si>
  <si>
    <t>3.7.10</t>
  </si>
  <si>
    <t>3.7.11</t>
  </si>
  <si>
    <t>3.7.12</t>
  </si>
  <si>
    <t>3.7.13</t>
  </si>
  <si>
    <t>3.7.14</t>
  </si>
  <si>
    <t>3.7.15</t>
  </si>
  <si>
    <t>3.7.16</t>
  </si>
  <si>
    <t>3.7.17</t>
  </si>
  <si>
    <t>3.7.18</t>
  </si>
  <si>
    <t>3.8.1</t>
  </si>
  <si>
    <t>3.8.2</t>
  </si>
  <si>
    <t>3.8.3</t>
  </si>
  <si>
    <t>3.8.4</t>
  </si>
  <si>
    <t>3.9.1</t>
  </si>
  <si>
    <t>3.9.2</t>
  </si>
  <si>
    <t>3.9.3</t>
  </si>
  <si>
    <t xml:space="preserve"> Estoque equivalente do almoxarifado.................................</t>
  </si>
  <si>
    <t>3.10.1</t>
  </si>
  <si>
    <t>Taxa do Sistema Especial de Liquidação e de Custódia (SELIC)..</t>
  </si>
  <si>
    <t xml:space="preserve"> Índice Nacional de Preços ao Consumidor Amplo (IPCA)...........</t>
  </si>
  <si>
    <t>3.10.2</t>
  </si>
  <si>
    <t>3.10.3</t>
  </si>
  <si>
    <t>3.11.1</t>
  </si>
  <si>
    <t>3.11.2</t>
  </si>
  <si>
    <t>3.11.3</t>
  </si>
  <si>
    <t>3.11.4</t>
  </si>
  <si>
    <t>3.11.5</t>
  </si>
  <si>
    <t>3.11.6</t>
  </si>
  <si>
    <t>3.11.7</t>
  </si>
  <si>
    <t>3.11.8</t>
  </si>
  <si>
    <t>3.11.9</t>
  </si>
  <si>
    <t>3.11.10</t>
  </si>
  <si>
    <t xml:space="preserve"> Vida útil dos equipamentos de bilhetagem e ITS (VUB)</t>
  </si>
  <si>
    <t xml:space="preserve"> Valor residual dos equipamentos de bilhetagem e ITS (VRB)</t>
  </si>
  <si>
    <t>Vida útil da infraestrutura(VUI)</t>
  </si>
  <si>
    <t>Locação de Veículo de Apoio (CLA)...........</t>
  </si>
  <si>
    <t>3.12.1</t>
  </si>
  <si>
    <t>3.12.2</t>
  </si>
  <si>
    <t>3.12.3</t>
  </si>
  <si>
    <t>3.12.4</t>
  </si>
  <si>
    <t>3.12.5</t>
  </si>
  <si>
    <t>3.13.1</t>
  </si>
  <si>
    <t>3.15.1</t>
  </si>
  <si>
    <t>3.15.2</t>
  </si>
  <si>
    <t>3.15.3</t>
  </si>
  <si>
    <t>3.15.4</t>
  </si>
  <si>
    <t>3.15.5</t>
  </si>
  <si>
    <t>3.15.6</t>
  </si>
  <si>
    <t>3.15.7</t>
  </si>
  <si>
    <t>ANEXO V – CONSUMO DO ARLA 32 EM ÔNIBUS</t>
  </si>
  <si>
    <t>ANEXO VI – VIDA ÚTIL E RECAPAGEM DE PNEUS</t>
  </si>
  <si>
    <t>ANEXO VII – PEÇAS E ACESSÓRIOS</t>
  </si>
  <si>
    <t>ANEXO VIII – CUSTOS AMBIENTAIS</t>
  </si>
  <si>
    <t>ANEXO IX – DEPRECIAÇÃO</t>
  </si>
  <si>
    <t>IX.a. Depreciação de veículos</t>
  </si>
  <si>
    <t>VI.a.</t>
  </si>
  <si>
    <t>VI.b.</t>
  </si>
  <si>
    <r>
      <rPr>
        <b/>
        <sz val="11"/>
        <rFont val="Calibri"/>
        <family val="2"/>
      </rPr>
      <t>IV.</t>
    </r>
    <r>
      <rPr>
        <b/>
        <i/>
        <sz val="11"/>
        <rFont val="Calibri"/>
        <family val="2"/>
      </rPr>
      <t xml:space="preserve">a </t>
    </r>
    <r>
      <rPr>
        <b/>
        <sz val="11"/>
        <rFont val="Calibri"/>
        <family val="2"/>
      </rPr>
      <t>Valor de referência</t>
    </r>
  </si>
  <si>
    <t>V.a</t>
  </si>
  <si>
    <t>VI.c.</t>
  </si>
  <si>
    <t>VI.d.</t>
  </si>
  <si>
    <t>VI.e.</t>
  </si>
  <si>
    <t>VI.f.</t>
  </si>
  <si>
    <t>VII.a</t>
  </si>
  <si>
    <t>VIII.a</t>
  </si>
  <si>
    <t>IX.a.1</t>
  </si>
  <si>
    <t>IX.a.2</t>
  </si>
  <si>
    <t>IX.a.3</t>
  </si>
  <si>
    <t>IX.a.4</t>
  </si>
  <si>
    <t>IX.a.5</t>
  </si>
  <si>
    <t>IX.b. Depreciação de edificações e equipamentos e mobiliário de garagem</t>
  </si>
  <si>
    <t>IX.b.1</t>
  </si>
  <si>
    <t>IX.b.2</t>
  </si>
  <si>
    <t>IX.b.3</t>
  </si>
  <si>
    <t>IX.b.4</t>
  </si>
  <si>
    <t>Valores de referência para vida útil dos equipamentos de bilhetagem e ITS</t>
  </si>
  <si>
    <t>IX.b.5</t>
  </si>
  <si>
    <t>IX.b.6</t>
  </si>
  <si>
    <t>ANEXO X – REMUNERAÇÃO DO CAPITAL IMOBILIZADO</t>
  </si>
  <si>
    <t>Remuneração do capital imobilizado em veículos</t>
  </si>
  <si>
    <t>X.a</t>
  </si>
  <si>
    <t>X.a.1</t>
  </si>
  <si>
    <t>X.a.2</t>
  </si>
  <si>
    <t>X.a.3</t>
  </si>
  <si>
    <t>X.a.4</t>
  </si>
  <si>
    <t>X.a.5</t>
  </si>
  <si>
    <t>Remuneração do capital imobilizado em terrenos, edificações e equipamentos de garagem</t>
  </si>
  <si>
    <t>X.b.</t>
  </si>
  <si>
    <t>X.b.1.</t>
  </si>
  <si>
    <t>X.b.2.</t>
  </si>
  <si>
    <t>coeficiente de remuneração anual do capital imobilizado em terrenos</t>
  </si>
  <si>
    <t>coeficiente de remuneração anual do capital imobilizado em edificações</t>
  </si>
  <si>
    <t>coeficiente de remuneração anual do capital imobilizado em equipamentos e mobiliário de garagem</t>
  </si>
  <si>
    <t>Remuneração do capital imobilizado emTerrenos, edificações e equipamentos de garagem (RTE)</t>
  </si>
  <si>
    <t>Remuneração do capital imobilizado em equipamentos de bilhetagem e ITS</t>
  </si>
  <si>
    <t>X.c.</t>
  </si>
  <si>
    <t>X.c.1</t>
  </si>
  <si>
    <t>Fator de remuneração dos equipamentos de bilhetagem e ITS (FRE)</t>
  </si>
  <si>
    <t>X.d.</t>
  </si>
  <si>
    <t>Remuneração do capital imobilizado em veículos de apoio</t>
  </si>
  <si>
    <t>X.d.1</t>
  </si>
  <si>
    <t>fator de remuneração de veículos de apoio (FRV)</t>
  </si>
  <si>
    <t>Remuneração do capital imobilizado em infraestrutura</t>
  </si>
  <si>
    <t>X.e.</t>
  </si>
  <si>
    <t>X.e.1</t>
  </si>
  <si>
    <t>Fator de remuneração da infraestrutura (FRI)</t>
  </si>
  <si>
    <t>ANEXO XII – FATORES DE UTILIZAÇÃO DE PESSOAL DE OPERAÇÃO E ENCARGOS SOCIAIS</t>
  </si>
  <si>
    <t>XII.a</t>
  </si>
  <si>
    <t>ANEXO XIII – MÉTODO PARA CÁLCULO DAS DESPESAS COM PESSOAL DE MANUTENÇÃO, ADMINISTRATIVO E DIRETORIA</t>
  </si>
  <si>
    <t>XIII.a</t>
  </si>
  <si>
    <t>km/mês</t>
  </si>
  <si>
    <t>passageiros/mês</t>
  </si>
  <si>
    <t>pass/veículo/mês</t>
  </si>
  <si>
    <t>2.1.b Cálculo do Valor do Veículo Básico (VEC[básico])</t>
  </si>
  <si>
    <t>2.1.b.v</t>
  </si>
  <si>
    <t>Padron</t>
  </si>
  <si>
    <t>Tarifa Pública</t>
  </si>
  <si>
    <t>4.2</t>
  </si>
  <si>
    <t>4.2.1</t>
  </si>
  <si>
    <t>4.2.2</t>
  </si>
  <si>
    <t>4.3.1</t>
  </si>
  <si>
    <t>4.3.2</t>
  </si>
  <si>
    <t>4.2.3</t>
  </si>
  <si>
    <t>Subsídio</t>
  </si>
  <si>
    <t>Subsídio (SUB)</t>
  </si>
  <si>
    <t>Subsídio mensal para custeio da tarifa..........................................</t>
  </si>
  <si>
    <t>Verificar Anexo VI</t>
  </si>
  <si>
    <t>Remuneração dos veículos</t>
  </si>
  <si>
    <t>Coeficiente de depreciação das edificações (ϖ)</t>
  </si>
  <si>
    <t>Coeficiente de depreciação dos equipamentos (τ)</t>
  </si>
  <si>
    <r>
      <t>Coeficiente de depreciação dos equipamentos de bilhetagem e ITS (</t>
    </r>
    <r>
      <rPr>
        <b/>
        <sz val="11"/>
        <rFont val="Calibri"/>
        <family val="2"/>
      </rPr>
      <t>χ</t>
    </r>
    <r>
      <rPr>
        <b/>
        <i/>
        <sz val="11"/>
        <rFont val="Calibri"/>
        <family val="2"/>
      </rPr>
      <t>)</t>
    </r>
  </si>
  <si>
    <t>Valor investido em equipamentos de bilhetagem e ITS  (CEB)</t>
  </si>
  <si>
    <t>XVI. Cálculo das Despesas Gerais</t>
  </si>
  <si>
    <t>Despesas Gerais</t>
  </si>
  <si>
    <t>Vida residual dos equipamentos de garagem (VRG)</t>
  </si>
  <si>
    <t>3.9.4</t>
  </si>
  <si>
    <t>3.12.6</t>
  </si>
  <si>
    <t>Aumento da participação dos usuários integrados pode, em casos específicos, gerar queda de receita proporcionalmente maior do que a redução de custos</t>
  </si>
  <si>
    <t>² Os valores de referência para os insumos abaixo estão descritos no Capítulo 3 da publicação "Cálculo dos Custos dos Serviços de Transporte Coletivo Urbano por Ônibus"</t>
  </si>
  <si>
    <t>Tributos Diretos (TRD)</t>
  </si>
  <si>
    <t>Tributos Diretos (ITR)</t>
  </si>
  <si>
    <t>Riscos Relacionados aos Investimentos Públicos e produtividade</t>
  </si>
  <si>
    <t>Perda de Demanda</t>
  </si>
  <si>
    <t>Valores de referência para consumo anual de peças e acessórios</t>
  </si>
  <si>
    <r>
      <rPr>
        <b/>
        <i/>
        <sz val="11"/>
        <rFont val="Calibri"/>
        <family val="2"/>
      </rPr>
      <t>KPz:</t>
    </r>
    <r>
      <rPr>
        <b/>
        <sz val="11"/>
        <rFont val="Calibri"/>
        <family val="2"/>
      </rPr>
      <t xml:space="preserve"> média mensal da quilometragem programada para cada tipo de veículo</t>
    </r>
  </si>
  <si>
    <t xml:space="preserve">Verificar seção 1.2 do Capítulo 1 </t>
  </si>
  <si>
    <t>0 a 2 anos</t>
  </si>
  <si>
    <t>3 a 4 anos</t>
  </si>
  <si>
    <t>7 a 8 anos</t>
  </si>
  <si>
    <t>9 a 10 anos</t>
  </si>
  <si>
    <t>CUSTOS IMPACTADOS (% do Custo total)</t>
  </si>
  <si>
    <t xml:space="preserve">Risco 1- Garagens e Infraestrutura </t>
  </si>
  <si>
    <t xml:space="preserve">Risco 2- Tecnologia e sistemas </t>
  </si>
  <si>
    <t>Risco 3- Investimento público vs. Produtividade</t>
  </si>
  <si>
    <t>Risco 4 -Certificação ambiental</t>
  </si>
  <si>
    <t>Risco 5- Mudanças na normatização ambiental</t>
  </si>
  <si>
    <t>Risco 6- Risco global de demanda</t>
  </si>
  <si>
    <t>Risco 7- Gratuidades</t>
  </si>
  <si>
    <t>Risco 8- Demanda integrada</t>
  </si>
  <si>
    <t>Risco 9- Reajuste de tarifas</t>
  </si>
  <si>
    <t>Risco 10- Inadimplemento público</t>
  </si>
  <si>
    <t>Risco 11- Câmara de compesação</t>
  </si>
  <si>
    <t>Risco 12- Acidentes</t>
  </si>
  <si>
    <t>Risco 13- Alteração de padrões técnicos</t>
  </si>
  <si>
    <t>Risco 14- Desordem civil</t>
  </si>
  <si>
    <t>Risco 15- Salários acima da inflação</t>
  </si>
  <si>
    <t>Risco 16- Greve trabalhista</t>
  </si>
  <si>
    <t>Risco 17- Alteração significativa da taxa de juros</t>
  </si>
  <si>
    <r>
      <t>Impacto (9</t>
    </r>
    <r>
      <rPr>
        <b/>
        <sz val="10"/>
        <color indexed="8"/>
        <rFont val="Calibri"/>
        <family val="2"/>
      </rPr>
      <t>5%)</t>
    </r>
  </si>
  <si>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</si>
  <si>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</si>
  <si>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Obtenção da certificação, ISO ou similar, é mais demorada ou enseja maiores custos de implantação do que o previsto.</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</si>
  <si>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</si>
  <si>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</si>
  <si>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</si>
  <si>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</si>
  <si>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</si>
  <si>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</si>
  <si>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</si>
  <si>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</si>
  <si>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</si>
  <si>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Perda de receita: dinâmica de sistemas integrados de transportes</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</si>
  <si>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</si>
  <si>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</si>
  <si>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 xml:space="preserve">Projetos que não dependam da compensação da remuneração entre empresas operadoras </t>
  </si>
  <si>
    <t>Elevação nos custos trabalhistas por aumento de salários acima dos índices convencionais de inflação.</t>
  </si>
  <si>
    <t>Descrição do risco</t>
  </si>
  <si>
    <t>Risco 4- Certificação ambiental</t>
  </si>
  <si>
    <t>Situações em que não se Aplica</t>
  </si>
  <si>
    <t>Não há</t>
  </si>
  <si>
    <t>SOMA DAS ALÍQUOTAS DOS TRIBUTOS DIRETOS</t>
  </si>
  <si>
    <t>DED+DIN+RTE+RIN+CLG</t>
  </si>
  <si>
    <t>DEQ+REQ+CLQ+CLA+CCM</t>
  </si>
  <si>
    <t>CMB+CAB+DVE+RVE</t>
  </si>
  <si>
    <t>CUSTO TOTAL</t>
  </si>
  <si>
    <t>Índice de passageiro por quilômetro (IPK)</t>
  </si>
  <si>
    <t>DVE+RVE+DEQ+REQ+DIN+RIN+CLQ</t>
  </si>
  <si>
    <t>DOP+DMA</t>
  </si>
  <si>
    <t>CMB+CLB+CAR+CRD+CPA+CAB+DVE+RVE</t>
  </si>
  <si>
    <t>Risco baixo</t>
  </si>
  <si>
    <t>Risco Alto</t>
  </si>
  <si>
    <t xml:space="preserve"> Risco Baixo</t>
  </si>
  <si>
    <t>DOP+DVE+RVE+CDS+IPVA+CDR+CCM+DED+DEQ+RTE+RAL+REQ+CLQ+CLG+DVA+RVA+CLA+CMB</t>
  </si>
  <si>
    <t>DVE+DED+DEQ+DVA+DIN+RVE+ RTE+RAL+REQ+RVA+RIN</t>
  </si>
  <si>
    <t>Risco alto</t>
  </si>
  <si>
    <t>Risco médio</t>
  </si>
  <si>
    <t>Receita da Integração</t>
  </si>
  <si>
    <t>Consolidado:</t>
  </si>
  <si>
    <t>2.1.a.i</t>
  </si>
  <si>
    <r>
      <t xml:space="preserve">(ir para o item </t>
    </r>
    <r>
      <rPr>
        <b/>
        <sz val="10"/>
        <rFont val="Calibri"/>
        <family val="2"/>
      </rPr>
      <t>2.1.a.ii</t>
    </r>
    <r>
      <rPr>
        <b/>
        <i/>
        <sz val="10"/>
        <rFont val="Calibri"/>
        <family val="2"/>
      </rPr>
      <t>)</t>
    </r>
  </si>
  <si>
    <r>
      <t>(ir para o item 2.1.a.iii</t>
    </r>
    <r>
      <rPr>
        <b/>
        <i/>
        <sz val="10"/>
        <rFont val="Calibri"/>
        <family val="2"/>
      </rPr>
      <t>)</t>
    </r>
  </si>
  <si>
    <t>2.1.a.ii Consumo σz (l/km) para cada tipo de veículo (consolidado)</t>
  </si>
  <si>
    <t>2.1.a.vi</t>
  </si>
  <si>
    <t>2.1.a.vii  Consumo total para cada tipo de veículo</t>
  </si>
  <si>
    <t>2.1.a.iii  Quantidade de combustível utilizada por tipo de veículo (detalhado)</t>
  </si>
  <si>
    <t>2.1.a.iv  Quantidade de quilometros percorridos por tipo de veículo (detalhado)</t>
  </si>
  <si>
    <t>2.1.a.v  Consumo σz (l/km) para cada tipo de veículo (detalhado)</t>
  </si>
  <si>
    <r>
      <t xml:space="preserve">1.1.2.f.  Receita Integrada (RI) </t>
    </r>
    <r>
      <rPr>
        <b/>
        <sz val="11"/>
        <rFont val="Calibri"/>
        <family val="2"/>
      </rPr>
      <t>refere-se aos recursos ($) especificamente arrecadados nas viagens com integração. Essa informação é usada apenas na análise de risco (aba A.XV. Detalhado)</t>
    </r>
  </si>
  <si>
    <t>TOTAL CUSTOS VARIÁVEIS E FIXOS</t>
  </si>
  <si>
    <t>QUADRO RESUMO DOS CUSTOS (R$/MÊS)</t>
  </si>
  <si>
    <t>CUSTOS VARIÁVEIS</t>
  </si>
  <si>
    <t>TOTAL CUSTOS VARIÁVEIS</t>
  </si>
  <si>
    <t>CUSTOS FIXOS</t>
  </si>
  <si>
    <t>Pessoal</t>
  </si>
  <si>
    <t>Operação .............................................................................</t>
  </si>
  <si>
    <t>Administrativas</t>
  </si>
  <si>
    <t>IPVA.............................................................................................................</t>
  </si>
  <si>
    <t>Depreciação</t>
  </si>
  <si>
    <t>Remuneração</t>
  </si>
  <si>
    <t>TOTAL CUSTOS FIXOS</t>
  </si>
  <si>
    <t>TOTAL DE TRIBUTOS</t>
  </si>
  <si>
    <t>COFINS.....................................................................................................................................................................................................................................</t>
  </si>
  <si>
    <t>3. No caso dos anexos, o numeral romano que identifica o anexo é precedido da letra "A".</t>
  </si>
  <si>
    <t xml:space="preserve">4. As células em laranja </t>
  </si>
  <si>
    <t>5. As células em verde</t>
  </si>
  <si>
    <t>6. As células em azul</t>
  </si>
  <si>
    <t>AVISO:</t>
  </si>
  <si>
    <t>Esta planilha eletrônica foi criada como instrumento de apoio.</t>
  </si>
  <si>
    <t>A ANTP (Associação Nacional de Transportes Públicos) não assume qualquer responsabilidade pela aplicação da planilha e do método.</t>
  </si>
  <si>
    <t>Consultar a aba A.III.Combustível</t>
  </si>
  <si>
    <t>ANEXO III – Consumo de combustível</t>
  </si>
  <si>
    <t>De</t>
  </si>
  <si>
    <t>Veículo</t>
  </si>
  <si>
    <t>Micro-ônibus</t>
  </si>
  <si>
    <t xml:space="preserve">*esses valores se referem a veículos operando sem ar-condicionado e sem transmissão automática. </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</si>
  <si>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</si>
  <si>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</si>
  <si>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</si>
  <si>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r>
      <t>Faixa etária (</t>
    </r>
    <r>
      <rPr>
        <b/>
        <i/>
        <sz val="12"/>
        <color indexed="9"/>
        <rFont val="Calibri"/>
        <family val="2"/>
      </rPr>
      <t>t</t>
    </r>
    <r>
      <rPr>
        <b/>
        <sz val="12"/>
        <color indexed="9"/>
        <rFont val="Calibri"/>
        <family val="2"/>
      </rPr>
      <t>)</t>
    </r>
  </si>
  <si>
    <t>α [minimo]</t>
  </si>
  <si>
    <t>α [máximo]</t>
  </si>
  <si>
    <t>δ [minimo]</t>
  </si>
  <si>
    <t>δ [máximo]</t>
  </si>
  <si>
    <t>ANEXO XV – MÉTODO DE CÁLCULO DO FATOR DE RISCO</t>
  </si>
  <si>
    <t>são entradas de dados preenchidas com valores de referência, conforme o respectivo anexo do método de cálculo.</t>
  </si>
  <si>
    <t>2. As abas da planilha seguem a numeração dos capitulos desse documento.</t>
  </si>
  <si>
    <t>1. Esta planilha eletrônica segue as definições do documento ¨Custos dos serviços de transporte público por ônibus - Método de Cálculo". ANTP (2017).</t>
  </si>
  <si>
    <r>
      <t>Combustível (</t>
    </r>
    <r>
      <rPr>
        <i/>
        <sz val="10"/>
        <rFont val="Calibri"/>
        <family val="2"/>
      </rPr>
      <t>CMB</t>
    </r>
    <r>
      <rPr>
        <sz val="10"/>
        <rFont val="Calibri"/>
        <family val="2"/>
      </rPr>
      <t>).........................................................................................................................</t>
    </r>
  </si>
  <si>
    <r>
      <t>Lubrificantes (</t>
    </r>
    <r>
      <rPr>
        <i/>
        <sz val="10"/>
        <rFont val="Calibri"/>
        <family val="2"/>
      </rPr>
      <t>CLB</t>
    </r>
    <r>
      <rPr>
        <sz val="10"/>
        <rFont val="Calibri"/>
        <family val="2"/>
      </rPr>
      <t>)......................................................................................................</t>
    </r>
  </si>
  <si>
    <r>
      <t>Material de rodagem (</t>
    </r>
    <r>
      <rPr>
        <i/>
        <sz val="10"/>
        <rFont val="Calibri"/>
        <family val="2"/>
      </rPr>
      <t>CRD</t>
    </r>
    <r>
      <rPr>
        <sz val="10"/>
        <rFont val="Calibri"/>
        <family val="2"/>
      </rPr>
      <t>)................................................................................................................................................</t>
    </r>
  </si>
  <si>
    <r>
      <t>Peças e acessórios (</t>
    </r>
    <r>
      <rPr>
        <i/>
        <sz val="10"/>
        <rFont val="Calibri"/>
        <family val="2"/>
      </rPr>
      <t>CPA</t>
    </r>
    <r>
      <rPr>
        <sz val="10"/>
        <rFont val="Calibri"/>
        <family val="2"/>
      </rPr>
      <t>)...............................................................................</t>
    </r>
  </si>
  <si>
    <r>
      <t>Custos ambientais (</t>
    </r>
    <r>
      <rPr>
        <i/>
        <sz val="10"/>
        <rFont val="Calibri"/>
        <family val="2"/>
      </rPr>
      <t>CAB</t>
    </r>
    <r>
      <rPr>
        <sz val="10"/>
        <rFont val="Calibri"/>
        <family val="2"/>
      </rPr>
      <t>)......................................................................................</t>
    </r>
  </si>
  <si>
    <r>
      <t>Manutenção, administrativo e diretoria (</t>
    </r>
    <r>
      <rPr>
        <i/>
        <sz val="10"/>
        <rFont val="Calibri"/>
        <family val="2"/>
      </rPr>
      <t>DMA</t>
    </r>
    <r>
      <rPr>
        <sz val="10"/>
        <rFont val="Calibri"/>
        <family val="2"/>
      </rPr>
      <t>)...............................................................</t>
    </r>
  </si>
  <si>
    <r>
      <t>Despesas gerais (</t>
    </r>
    <r>
      <rPr>
        <i/>
        <sz val="10"/>
        <rFont val="Calibri"/>
        <family val="2"/>
      </rPr>
      <t>CDG</t>
    </r>
    <r>
      <rPr>
        <sz val="10"/>
        <rFont val="Calibri"/>
        <family val="2"/>
      </rPr>
      <t>).....................................................................................................</t>
    </r>
  </si>
  <si>
    <r>
      <t>DPVAT e licenciamento (</t>
    </r>
    <r>
      <rPr>
        <i/>
        <sz val="10"/>
        <rFont val="Calibri"/>
        <family val="2"/>
      </rPr>
      <t>CDS</t>
    </r>
    <r>
      <rPr>
        <sz val="10"/>
        <rFont val="Calibri"/>
        <family val="2"/>
      </rPr>
      <t>)..........................................................................................................................</t>
    </r>
  </si>
  <si>
    <r>
      <t>Seguros (</t>
    </r>
    <r>
      <rPr>
        <i/>
        <sz val="10"/>
        <rFont val="Calibri"/>
        <family val="2"/>
      </rPr>
      <t>CRD</t>
    </r>
    <r>
      <rPr>
        <sz val="10"/>
        <rFont val="Calibri"/>
        <family val="2"/>
      </rPr>
      <t>)..........................................................................................................</t>
    </r>
  </si>
  <si>
    <r>
      <t>Outras despesas operacionais (</t>
    </r>
    <r>
      <rPr>
        <i/>
        <sz val="10"/>
        <rFont val="Calibri"/>
        <family val="2"/>
      </rPr>
      <t>CCM</t>
    </r>
    <r>
      <rPr>
        <sz val="10"/>
        <rFont val="Calibri"/>
        <family val="2"/>
      </rPr>
      <t>).........................................................................................</t>
    </r>
  </si>
  <si>
    <r>
      <t>Veículos da frota (</t>
    </r>
    <r>
      <rPr>
        <i/>
        <sz val="10"/>
        <rFont val="Calibri"/>
        <family val="2"/>
      </rPr>
      <t>DVE</t>
    </r>
    <r>
      <rPr>
        <sz val="10"/>
        <rFont val="Calibri"/>
        <family val="2"/>
      </rPr>
      <t>)..............................................................................................</t>
    </r>
  </si>
  <si>
    <r>
      <t>Edificações e equipamentos de garagem (</t>
    </r>
    <r>
      <rPr>
        <i/>
        <sz val="10"/>
        <rFont val="Calibri"/>
        <family val="2"/>
      </rPr>
      <t>DED</t>
    </r>
    <r>
      <rPr>
        <sz val="10"/>
        <rFont val="Calibri"/>
        <family val="2"/>
      </rPr>
      <t>)..........................................................................................................</t>
    </r>
  </si>
  <si>
    <r>
      <t>Equipamentos de bilhetagem e ITS (</t>
    </r>
    <r>
      <rPr>
        <i/>
        <sz val="10"/>
        <rFont val="Calibri"/>
        <family val="2"/>
      </rPr>
      <t>DEQ</t>
    </r>
    <r>
      <rPr>
        <sz val="10"/>
        <rFont val="Calibri"/>
        <family val="2"/>
      </rPr>
      <t>).....................................................................................</t>
    </r>
  </si>
  <si>
    <r>
      <t>Veículos de apoio (</t>
    </r>
    <r>
      <rPr>
        <i/>
        <sz val="10"/>
        <rFont val="Calibri"/>
        <family val="2"/>
      </rPr>
      <t>DVA</t>
    </r>
    <r>
      <rPr>
        <sz val="10"/>
        <rFont val="Calibri"/>
        <family val="2"/>
      </rPr>
      <t>).....................................................................................................</t>
    </r>
  </si>
  <si>
    <r>
      <t>Infraestrutura (</t>
    </r>
    <r>
      <rPr>
        <i/>
        <sz val="10"/>
        <rFont val="Calibri"/>
        <family val="2"/>
      </rPr>
      <t>DIN</t>
    </r>
    <r>
      <rPr>
        <sz val="10"/>
        <rFont val="Calibri"/>
        <family val="2"/>
      </rPr>
      <t>).........................................................................................</t>
    </r>
  </si>
  <si>
    <r>
      <t>Veículos da frota (</t>
    </r>
    <r>
      <rPr>
        <i/>
        <sz val="10"/>
        <rFont val="Calibri"/>
        <family val="2"/>
      </rPr>
      <t>RVE</t>
    </r>
    <r>
      <rPr>
        <sz val="10"/>
        <rFont val="Calibri"/>
        <family val="2"/>
      </rPr>
      <t>).......................................................................................................</t>
    </r>
  </si>
  <si>
    <r>
      <t>Terrenos, edificações e equipamentos de garagem (</t>
    </r>
    <r>
      <rPr>
        <i/>
        <sz val="10"/>
        <rFont val="Calibri"/>
        <family val="2"/>
      </rPr>
      <t>RTE</t>
    </r>
    <r>
      <rPr>
        <sz val="10"/>
        <rFont val="Calibri"/>
        <family val="2"/>
      </rPr>
      <t>)...............................................................................................................</t>
    </r>
  </si>
  <si>
    <r>
      <t>Almoxarifado (</t>
    </r>
    <r>
      <rPr>
        <i/>
        <sz val="10"/>
        <rFont val="Calibri"/>
        <family val="2"/>
      </rPr>
      <t>RAL</t>
    </r>
    <r>
      <rPr>
        <sz val="10"/>
        <rFont val="Calibri"/>
        <family val="2"/>
      </rPr>
      <t>).............................................................................................</t>
    </r>
  </si>
  <si>
    <r>
      <t>Equipamentos de bilhetagem e ITS (</t>
    </r>
    <r>
      <rPr>
        <i/>
        <sz val="10"/>
        <rFont val="Calibri"/>
        <family val="2"/>
      </rPr>
      <t>REQ</t>
    </r>
    <r>
      <rPr>
        <sz val="10"/>
        <rFont val="Calibri"/>
        <family val="2"/>
      </rPr>
      <t>)....................................................................................</t>
    </r>
  </si>
  <si>
    <r>
      <t>Veículos de apoio (</t>
    </r>
    <r>
      <rPr>
        <i/>
        <sz val="10"/>
        <rFont val="Calibri"/>
        <family val="2"/>
      </rPr>
      <t>RVA</t>
    </r>
    <r>
      <rPr>
        <sz val="10"/>
        <rFont val="Calibri"/>
        <family val="2"/>
      </rPr>
      <t>)................................................................................................</t>
    </r>
  </si>
  <si>
    <r>
      <t>Infraestrutura (</t>
    </r>
    <r>
      <rPr>
        <i/>
        <sz val="10"/>
        <rFont val="Calibri"/>
        <family val="2"/>
      </rPr>
      <t>RIN</t>
    </r>
    <r>
      <rPr>
        <sz val="10"/>
        <rFont val="Calibri"/>
        <family val="2"/>
      </rPr>
      <t>)................................................................................................</t>
    </r>
  </si>
  <si>
    <r>
      <t>Locação dos equipamentos e sistemas de bilhetagem e ITS (</t>
    </r>
    <r>
      <rPr>
        <i/>
        <sz val="10"/>
        <rFont val="Calibri"/>
        <family val="2"/>
      </rPr>
      <t>CLQ</t>
    </r>
    <r>
      <rPr>
        <sz val="10"/>
        <rFont val="Calibri"/>
        <family val="2"/>
      </rPr>
      <t>).............................................................</t>
    </r>
  </si>
  <si>
    <r>
      <t>Locação de garagem (</t>
    </r>
    <r>
      <rPr>
        <i/>
        <sz val="10"/>
        <rFont val="Calibri"/>
        <family val="2"/>
      </rPr>
      <t>CLG</t>
    </r>
    <r>
      <rPr>
        <sz val="10"/>
        <rFont val="Calibri"/>
        <family val="2"/>
      </rPr>
      <t>).......................................................................................................................</t>
    </r>
  </si>
  <si>
    <r>
      <t>Locação de veículos de Apoio (</t>
    </r>
    <r>
      <rPr>
        <i/>
        <sz val="10"/>
        <rFont val="Calibri"/>
        <family val="2"/>
      </rPr>
      <t>CLA</t>
    </r>
    <r>
      <rPr>
        <sz val="10"/>
        <rFont val="Calibri"/>
        <family val="2"/>
      </rPr>
      <t>)............................................................................</t>
    </r>
  </si>
  <si>
    <t>4.1</t>
  </si>
  <si>
    <t>Custo por Passageiro Transportado</t>
  </si>
  <si>
    <t>Passageiros transportados</t>
  </si>
  <si>
    <t>% Custo Total</t>
  </si>
  <si>
    <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</si>
  <si>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Versão 1.1 ( 2021)</t>
  </si>
  <si>
    <t xml:space="preserve">O documento ¨Custos dos serviços de transporte público por ônibus - Método de Cálculo". </t>
  </si>
  <si>
    <t>X</t>
  </si>
  <si>
    <t>Zona 4</t>
  </si>
  <si>
    <t>Zona 2</t>
  </si>
  <si>
    <t>Vila Operária</t>
  </si>
  <si>
    <t>Vila Sete</t>
  </si>
  <si>
    <t>Vidigal</t>
  </si>
  <si>
    <t>Bela Vista/  Pedro Moreira</t>
  </si>
  <si>
    <r>
      <t>Salário do Mecânico (SAL</t>
    </r>
    <r>
      <rPr>
        <i/>
        <sz val="8"/>
        <rFont val="Arial"/>
        <family val="2"/>
      </rPr>
      <t>des</t>
    </r>
    <r>
      <rPr>
        <i/>
        <sz val="10"/>
        <rFont val="Arial"/>
        <family val="2"/>
      </rPr>
      <t>) .................................</t>
    </r>
  </si>
  <si>
    <r>
      <t>Benefícios do Mecânico (BEN</t>
    </r>
    <r>
      <rPr>
        <i/>
        <sz val="8"/>
        <rFont val="Arial"/>
        <family val="2"/>
      </rPr>
      <t>des</t>
    </r>
    <r>
      <rPr>
        <i/>
        <sz val="10"/>
        <rFont val="Arial"/>
        <family val="2"/>
      </rPr>
      <t>) ...........................</t>
    </r>
  </si>
  <si>
    <r>
      <t>Fator de utilização dos Mecânico (FUT</t>
    </r>
    <r>
      <rPr>
        <i/>
        <sz val="8"/>
        <rFont val="Arial"/>
        <family val="2"/>
      </rPr>
      <t>des</t>
    </r>
    <r>
      <rPr>
        <i/>
        <sz val="10"/>
        <rFont val="Arial"/>
        <family val="2"/>
      </rPr>
      <t>) .............</t>
    </r>
  </si>
  <si>
    <r>
      <t>Fator de utilização físico dos Mecânico (FUF</t>
    </r>
    <r>
      <rPr>
        <i/>
        <sz val="8"/>
        <rFont val="Arial"/>
        <family val="2"/>
      </rPr>
      <t>des</t>
    </r>
    <r>
      <rPr>
        <i/>
        <sz val="10"/>
        <rFont val="Arial"/>
        <family val="2"/>
      </rPr>
      <t>) ....</t>
    </r>
  </si>
  <si>
    <t>Novo</t>
  </si>
  <si>
    <t>Semi Novo</t>
  </si>
  <si>
    <t>8+</t>
  </si>
  <si>
    <t>Total</t>
  </si>
  <si>
    <t>Salário do Encarregado (SAL enc) .................................</t>
  </si>
  <si>
    <t>Benefícios do Encarregado (BEN enc) ...........................</t>
  </si>
  <si>
    <t>Fator de utilização físico dos Encarregados (FUF enc)...............</t>
  </si>
  <si>
    <t>Jardim Vitória/Mafra/Asa Branca</t>
  </si>
  <si>
    <t>Jardim Uni/Cassidori/Beatriz Guim.</t>
  </si>
  <si>
    <t>Reboque Bela Vista</t>
  </si>
  <si>
    <t>Jard. Atlântico/Pq das Nações/Belas Artes</t>
  </si>
  <si>
    <t>Site........................................................................................</t>
  </si>
  <si>
    <r>
      <rPr>
        <b/>
        <sz val="10"/>
        <rFont val="Arial"/>
        <family val="2"/>
      </rPr>
      <t>Taxa Bombeiros</t>
    </r>
    <r>
      <rPr>
        <sz val="10"/>
        <rFont val="Arial"/>
        <family val="2"/>
      </rPr>
      <t>..................................................................................</t>
    </r>
  </si>
  <si>
    <t>Despesas médicas obrigatórias - Seguro Funcionários</t>
  </si>
  <si>
    <t>Fator de utilização dos Encarregado (FUT enc).......................</t>
  </si>
  <si>
    <t>Anual</t>
  </si>
  <si>
    <t>x</t>
  </si>
  <si>
    <t>Serviços terceirizados de propaganda.........................</t>
  </si>
  <si>
    <t>PR 082 - Lavanderia</t>
  </si>
  <si>
    <t>Avenida Piauí - Dom Bosco</t>
  </si>
  <si>
    <t>PR 323 - Portal</t>
  </si>
  <si>
    <t>Combustível Veículos de Apoio............................................................................</t>
  </si>
  <si>
    <r>
      <t>Equipamento de segurança/uniformes</t>
    </r>
    <r>
      <rPr>
        <sz val="10"/>
        <rFont val="Arial"/>
        <family val="2"/>
      </rPr>
      <t>................................................................</t>
    </r>
  </si>
  <si>
    <t>Serviço de conservação e manutenção da frota</t>
  </si>
  <si>
    <t>TRIBUTAÇÃO - Utilizando o método de cálculo do imposto sobre imposto para calcular o custo/km</t>
  </si>
  <si>
    <t>Unipar/Umfg</t>
  </si>
  <si>
    <t xml:space="preserve"> </t>
  </si>
  <si>
    <t>Serviços terceirizados de emissão de cartões.................................</t>
  </si>
  <si>
    <t>Contribuição Social........................................................................................................................................................................................................................................................................</t>
  </si>
  <si>
    <t>Contribuição Social ...........</t>
  </si>
  <si>
    <t>Outros tributos - IRR .............................................................</t>
  </si>
  <si>
    <t>Desoneração da Folha(INSS).................................................................................................................................................................................................</t>
  </si>
  <si>
    <t>Outros - IRRF................................................................................................................................................................................................</t>
  </si>
  <si>
    <t>Serviços terceirizados na área de recursos humanos..................</t>
  </si>
  <si>
    <r>
      <t>Salário do Cobrador/Terminal (SAL</t>
    </r>
    <r>
      <rPr>
        <i/>
        <sz val="8"/>
        <rFont val="Arial"/>
        <family val="2"/>
      </rPr>
      <t>cob</t>
    </r>
    <r>
      <rPr>
        <i/>
        <sz val="10"/>
        <rFont val="Arial"/>
        <family val="2"/>
      </rPr>
      <t>) .......................................</t>
    </r>
  </si>
  <si>
    <r>
      <t>Benefícios do Cobrador/Terminal (BEN</t>
    </r>
    <r>
      <rPr>
        <i/>
        <sz val="8"/>
        <rFont val="Arial"/>
        <family val="2"/>
      </rPr>
      <t>cob</t>
    </r>
    <r>
      <rPr>
        <i/>
        <sz val="10"/>
        <rFont val="Arial"/>
        <family val="2"/>
      </rPr>
      <t>) .................................</t>
    </r>
  </si>
  <si>
    <r>
      <t>Fator de utilização dos Cobrador/Terminal (FUT</t>
    </r>
    <r>
      <rPr>
        <i/>
        <sz val="8"/>
        <rFont val="Arial"/>
        <family val="2"/>
      </rPr>
      <t>cob</t>
    </r>
    <r>
      <rPr>
        <i/>
        <sz val="10"/>
        <rFont val="Arial"/>
        <family val="2"/>
      </rPr>
      <t>) ................</t>
    </r>
  </si>
  <si>
    <r>
      <t>Fator de utilização físico dos Cobrador/Terminal (FUF</t>
    </r>
    <r>
      <rPr>
        <i/>
        <sz val="8"/>
        <rFont val="Arial"/>
        <family val="2"/>
      </rPr>
      <t>cob</t>
    </r>
    <r>
      <rPr>
        <i/>
        <sz val="10"/>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</si>
</sst>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R$&quot;\ #,##0;\-&quot;R$&quot;\ #,##0"/>
    <numFmt numFmtId="7" formatCode="&quot;R$&quot;\ #,##0.00;\-&quot;R$&quot;\ #,##0.00"/>
    <numFmt numFmtId="44" formatCode="_-&quot;R$&quot;\ * #,##0.00_-;\-&quot;R$&quot;\ * #,##0.00_-;_-&quot;R$&quot;\ * &quot;-&quot;??_-;_-@_-"/>
    <numFmt numFmtId="43" formatCode="_-* #,##0.00_-;\-* #,##0.00_-;_-* &quot;-&quot;??_-;_-@_-"/>
    <numFmt numFmtId="164" formatCode="_(* #,##0.00_);_(* \(#,##0.00\);_(* &quot;-&quot;??_);_(@_)"/>
    <numFmt numFmtId="165" formatCode="_(&quot;R$&quot;* #,##0.00_);_(&quot;R$&quot;* \(#,##0.00\);_(&quot;R$&quot;* &quot;-&quot;??_);_(@_)"/>
    <numFmt numFmtId="166" formatCode="_-* #,##0_-;\-* #,##0_-;_-* &quot;-&quot;??_-;_-@_-"/>
    <numFmt numFmtId="167" formatCode="#,##0_ ;\-#,##0\ "/>
    <numFmt numFmtId="168" formatCode="#,##0.00000"/>
    <numFmt numFmtId="169" formatCode="#,##0.00_ ;\-#,##0.00\ "/>
    <numFmt numFmtId="170" formatCode="#,##0.00000_ ;\-#,##0.00000\ "/>
    <numFmt numFmtId="171" formatCode="_-* #,##0.000_-;\-* #,##0.000_-;_-* &quot;-&quot;??_-;_-@_-"/>
    <numFmt numFmtId="172" formatCode="_-* #,##0.0000_-;\-* #,##0.0000_-;_-* &quot;-&quot;??_-;_-@_-"/>
    <numFmt numFmtId="173" formatCode="_-* #,##0.000000_-;\-* #,##0.000000_-;_-* &quot;-&quot;??_-;_-@_-"/>
    <numFmt numFmtId="174" formatCode="#,##0.000000_ ;\-#,##0.000000\ "/>
    <numFmt numFmtId="175" formatCode="0.0%"/>
    <numFmt numFmtId="176" formatCode="0.000"/>
    <numFmt numFmtId="177" formatCode="0.0000000000"/>
    <numFmt numFmtId="178" formatCode="0.00000"/>
    <numFmt numFmtId="179" formatCode="#,##0.00000000_ ;\-#,##0.00000000\ "/>
    <numFmt numFmtId="180" formatCode="#,##0.000"/>
    <numFmt numFmtId="181" formatCode="#,##0.0000"/>
    <numFmt numFmtId="182" formatCode="#,##0.0"/>
    <numFmt numFmtId="183" formatCode="h:mm;@"/>
    <numFmt numFmtId="184" formatCode="_(&quot;R$ &quot;* #,##0.00_);_(&quot;R$ &quot;* \(#,##0.00\);_(&quot;R$ &quot;* &quot;-&quot;??_);_(@_)"/>
    <numFmt numFmtId="185" formatCode="#,##0.0000;\-#,##0.0000"/>
    <numFmt numFmtId="186" formatCode="#,##0.00000;\-#,##0.00000"/>
    <numFmt numFmtId="187" formatCode="0.0000000"/>
    <numFmt numFmtId="188" formatCode="&quot;R$&quot;\ #,##0.00"/>
    <numFmt numFmtId="189" formatCode="0.0000%"/>
    <numFmt numFmtId="190" formatCode="0.000000%"/>
    <numFmt numFmtId="191" formatCode="0.000000"/>
  </numFmts>
  <fonts count="99" x14ac:knownFonts="1">
    <font>
      <sz val="10"/>
      <name val="Arial"/>
    </font>
    <font>
      <sz val="10"/>
      <name val="Arial"/>
      <family val="2"/>
    </font>
    <font>
      <sz val="10"/>
      <name val="Arial"/>
      <family val="2"/>
    </font>
    <font>
      <i/>
      <sz val="10"/>
      <name val="Arial"/>
      <family val="2"/>
    </font>
    <font>
      <b/>
      <i/>
      <sz val="10"/>
      <name val="Arial"/>
      <family val="2"/>
    </font>
    <font>
      <b/>
      <vertAlign val="subscript"/>
      <sz val="11"/>
      <color indexed="8"/>
      <name val="Calibri"/>
      <family val="2"/>
    </font>
    <font>
      <b/>
      <i/>
      <sz val="11"/>
      <name val="Calibri"/>
      <family val="2"/>
    </font>
    <font>
      <b/>
      <i/>
      <sz val="10"/>
      <color indexed="9"/>
      <name val="Calibri"/>
      <family val="2"/>
    </font>
    <font>
      <b/>
      <sz val="10"/>
      <color indexed="9"/>
      <name val="Calibri"/>
      <family val="2"/>
    </font>
    <font>
      <b/>
      <sz val="11"/>
      <name val="Calibri"/>
      <family val="2"/>
    </font>
    <font>
      <sz val="10"/>
      <name val="Arial"/>
      <family val="2"/>
    </font>
    <font>
      <i/>
      <sz val="8"/>
      <color indexed="8"/>
      <name val="Calibri"/>
      <family val="2"/>
    </font>
    <font>
      <b/>
      <sz val="11"/>
      <color indexed="9"/>
      <name val="Calibri"/>
      <family val="2"/>
    </font>
    <font>
      <b/>
      <sz val="9"/>
      <color indexed="9"/>
      <name val="Calibri"/>
      <family val="2"/>
    </font>
    <font>
      <b/>
      <sz val="8"/>
      <color indexed="9"/>
      <name val="Calibri"/>
      <family val="2"/>
    </font>
    <font>
      <b/>
      <i/>
      <sz val="8"/>
      <name val="Calibri"/>
      <family val="2"/>
    </font>
    <font>
      <b/>
      <sz val="12"/>
      <name val="Times New Roman"/>
      <family val="1"/>
    </font>
    <font>
      <i/>
      <sz val="8"/>
      <name val="Arial"/>
      <family val="2"/>
    </font>
    <font>
      <b/>
      <sz val="10"/>
      <name val="Arial"/>
      <family val="2"/>
    </font>
    <font>
      <b/>
      <sz val="12"/>
      <color indexed="9"/>
      <name val="Calibri"/>
      <family val="2"/>
    </font>
    <font>
      <b/>
      <i/>
      <sz val="12"/>
      <color indexed="9"/>
      <name val="Times New Roman"/>
      <family val="1"/>
    </font>
    <font>
      <sz val="10"/>
      <name val="Arial"/>
      <family val="2"/>
    </font>
    <font>
      <b/>
      <sz val="8"/>
      <name val="Arial"/>
      <family val="2"/>
    </font>
    <font>
      <b/>
      <sz val="12"/>
      <name val="Arial"/>
      <family val="2"/>
    </font>
    <font>
      <sz val="7"/>
      <name val="Arial"/>
      <family val="2"/>
    </font>
    <font>
      <sz val="10"/>
      <name val="Arial"/>
      <family val="2"/>
    </font>
    <font>
      <sz val="10"/>
      <name val="Arial"/>
      <family val="2"/>
    </font>
    <font>
      <b/>
      <i/>
      <sz val="11"/>
      <color indexed="9"/>
      <name val="Calibri"/>
      <family val="2"/>
    </font>
    <font>
      <b/>
      <i/>
      <vertAlign val="subscript"/>
      <sz val="11"/>
      <color indexed="8"/>
      <name val="Calibri"/>
      <family val="2"/>
    </font>
    <font>
      <i/>
      <sz val="11"/>
      <name val="Calibri"/>
      <family val="2"/>
    </font>
    <font>
      <sz val="12"/>
      <name val="Calibri"/>
      <family val="2"/>
    </font>
    <font>
      <b/>
      <i/>
      <sz val="11"/>
      <color indexed="8"/>
      <name val="Calibri"/>
      <family val="2"/>
    </font>
    <font>
      <b/>
      <i/>
      <sz val="10"/>
      <name val="Calibri"/>
      <family val="2"/>
    </font>
    <font>
      <b/>
      <sz val="10"/>
      <name val="Calibri"/>
      <family val="2"/>
    </font>
    <font>
      <i/>
      <sz val="10"/>
      <color indexed="10"/>
      <name val="Arial"/>
      <family val="2"/>
    </font>
    <font>
      <b/>
      <i/>
      <sz val="10"/>
      <color indexed="10"/>
      <name val="Arial"/>
      <family val="2"/>
    </font>
    <font>
      <b/>
      <sz val="10"/>
      <color indexed="8"/>
      <name val="Calibri"/>
      <family val="2"/>
    </font>
    <font>
      <b/>
      <i/>
      <sz val="12"/>
      <color indexed="9"/>
      <name val="Calibri"/>
      <family val="2"/>
    </font>
    <font>
      <sz val="10"/>
      <name val="Calibri"/>
      <family val="2"/>
    </font>
    <font>
      <sz val="12"/>
      <name val="Arial"/>
      <family val="2"/>
    </font>
    <font>
      <b/>
      <i/>
      <vertAlign val="superscript"/>
      <sz val="12"/>
      <color indexed="9"/>
      <name val="Arial"/>
      <family val="2"/>
    </font>
    <font>
      <b/>
      <i/>
      <vertAlign val="subscript"/>
      <sz val="12"/>
      <color indexed="9"/>
      <name val="Arial"/>
      <family val="2"/>
    </font>
    <font>
      <b/>
      <sz val="11"/>
      <color indexed="10"/>
      <name val="Calibri"/>
      <family val="2"/>
    </font>
    <font>
      <b/>
      <vertAlign val="superscript"/>
      <sz val="12"/>
      <color indexed="9"/>
      <name val="Calibri"/>
      <family val="2"/>
    </font>
    <font>
      <i/>
      <sz val="10"/>
      <name val="Calibri"/>
      <family val="2"/>
    </font>
    <font>
      <b/>
      <sz val="9"/>
      <color indexed="81"/>
      <name val="Segoe UI"/>
      <family val="2"/>
    </font>
    <font>
      <sz val="11"/>
      <color theme="1"/>
      <name val="Calibri"/>
      <family val="2"/>
      <scheme val="minor"/>
    </font>
    <font>
      <sz val="11"/>
      <color theme="0"/>
      <name val="Calibri"/>
      <family val="2"/>
      <scheme val="minor"/>
    </font>
    <font>
      <b/>
      <sz val="11"/>
      <color theme="0"/>
      <name val="Calibri"/>
      <family val="2"/>
      <scheme val="minor"/>
    </font>
    <font>
      <u/>
      <sz val="10"/>
      <color theme="10"/>
      <name val="Arial"/>
      <family val="2"/>
    </font>
    <font>
      <b/>
      <sz val="11"/>
      <color theme="1"/>
      <name val="Calibri"/>
      <family val="2"/>
      <scheme val="minor"/>
    </font>
    <font>
      <sz val="10"/>
      <name val="Calibri"/>
      <family val="2"/>
      <scheme val="minor"/>
    </font>
    <font>
      <sz val="11"/>
      <name val="Calibri"/>
      <family val="2"/>
      <scheme val="minor"/>
    </font>
    <font>
      <b/>
      <i/>
      <sz val="10"/>
      <name val="Calibri"/>
      <family val="2"/>
      <scheme val="minor"/>
    </font>
    <font>
      <b/>
      <sz val="10"/>
      <color theme="0"/>
      <name val="Calibri"/>
      <family val="2"/>
      <scheme val="minor"/>
    </font>
    <font>
      <i/>
      <sz val="11"/>
      <name val="Calibri"/>
      <family val="2"/>
      <scheme val="minor"/>
    </font>
    <font>
      <b/>
      <sz val="11"/>
      <name val="Calibri"/>
      <family val="2"/>
      <scheme val="minor"/>
    </font>
    <font>
      <i/>
      <sz val="11"/>
      <color theme="1"/>
      <name val="Calibri"/>
      <family val="2"/>
      <scheme val="minor"/>
    </font>
    <font>
      <b/>
      <i/>
      <sz val="11"/>
      <name val="Calibri"/>
      <family val="2"/>
      <scheme val="minor"/>
    </font>
    <font>
      <b/>
      <sz val="16"/>
      <name val="Calibri"/>
      <family val="2"/>
      <scheme val="minor"/>
    </font>
    <font>
      <b/>
      <sz val="18"/>
      <name val="Calibri"/>
      <family val="2"/>
      <scheme val="minor"/>
    </font>
    <font>
      <b/>
      <i/>
      <sz val="16"/>
      <name val="Calibri"/>
      <family val="2"/>
      <scheme val="minor"/>
    </font>
    <font>
      <sz val="10"/>
      <color rgb="FFFF0000"/>
      <name val="Arial"/>
      <family val="2"/>
    </font>
    <font>
      <i/>
      <sz val="10"/>
      <color rgb="FFFF0000"/>
      <name val="Arial"/>
      <family val="2"/>
    </font>
    <font>
      <b/>
      <sz val="10"/>
      <color theme="0"/>
      <name val="Arial"/>
      <family val="2"/>
    </font>
    <font>
      <b/>
      <sz val="16"/>
      <color theme="1"/>
      <name val="Calibri"/>
      <family val="2"/>
      <scheme val="minor"/>
    </font>
    <font>
      <sz val="12"/>
      <name val="Calibri"/>
      <family val="2"/>
      <scheme val="minor"/>
    </font>
    <font>
      <i/>
      <sz val="12"/>
      <name val="Calibri"/>
      <family val="2"/>
      <scheme val="minor"/>
    </font>
    <font>
      <b/>
      <sz val="12"/>
      <color theme="0"/>
      <name val="Calibri"/>
      <family val="2"/>
    </font>
    <font>
      <b/>
      <sz val="12"/>
      <name val="Calibri"/>
      <family val="2"/>
      <scheme val="minor"/>
    </font>
    <font>
      <b/>
      <sz val="12"/>
      <color theme="0"/>
      <name val="Times New Roman"/>
      <family val="1"/>
    </font>
    <font>
      <b/>
      <i/>
      <sz val="11"/>
      <color theme="0"/>
      <name val="Calibri"/>
      <family val="2"/>
      <scheme val="minor"/>
    </font>
    <font>
      <b/>
      <sz val="12"/>
      <color theme="0"/>
      <name val="Calibri"/>
      <family val="2"/>
      <scheme val="minor"/>
    </font>
    <font>
      <b/>
      <i/>
      <sz val="12"/>
      <color theme="0"/>
      <name val="Calibri"/>
      <family val="2"/>
      <scheme val="minor"/>
    </font>
    <font>
      <sz val="10"/>
      <color theme="0"/>
      <name val="Arial"/>
      <family val="2"/>
    </font>
    <font>
      <b/>
      <sz val="9"/>
      <color rgb="FF000000"/>
      <name val="Calibri"/>
      <family val="2"/>
      <scheme val="minor"/>
    </font>
    <font>
      <sz val="9"/>
      <color rgb="FF000000"/>
      <name val="Calibri"/>
      <family val="2"/>
      <scheme val="minor"/>
    </font>
    <font>
      <b/>
      <i/>
      <sz val="11"/>
      <color theme="1"/>
      <name val="Calibri"/>
      <family val="2"/>
      <scheme val="minor"/>
    </font>
    <font>
      <b/>
      <i/>
      <sz val="16"/>
      <color theme="0"/>
      <name val="Calibri"/>
      <family val="2"/>
      <scheme val="minor"/>
    </font>
    <font>
      <b/>
      <sz val="10"/>
      <color rgb="FFFF0000"/>
      <name val="Arial"/>
      <family val="2"/>
    </font>
    <font>
      <sz val="10"/>
      <color theme="1"/>
      <name val="Arial"/>
      <family val="2"/>
    </font>
    <font>
      <b/>
      <sz val="10"/>
      <color rgb="FF000000"/>
      <name val="Calibri"/>
      <family val="2"/>
      <scheme val="minor"/>
    </font>
    <font>
      <sz val="10"/>
      <color rgb="FF000000"/>
      <name val="Calibri"/>
      <family val="2"/>
      <scheme val="minor"/>
    </font>
    <font>
      <sz val="10"/>
      <color rgb="FF000000"/>
      <name val="Calibri"/>
      <family val="2"/>
    </font>
    <font>
      <sz val="10"/>
      <color rgb="FFFF0000"/>
      <name val="Calibri"/>
      <family val="2"/>
      <scheme val="minor"/>
    </font>
    <font>
      <b/>
      <sz val="10"/>
      <name val="Calibri"/>
      <family val="2"/>
      <scheme val="minor"/>
    </font>
    <font>
      <sz val="9"/>
      <color theme="0"/>
      <name val="Calibri"/>
      <family val="2"/>
      <scheme val="minor"/>
    </font>
    <font>
      <b/>
      <sz val="12"/>
      <color rgb="FFFF0000"/>
      <name val="Calibri"/>
      <family val="2"/>
      <scheme val="minor"/>
    </font>
    <font>
      <b/>
      <vertAlign val="superscript"/>
      <sz val="12"/>
      <color theme="0"/>
      <name val="Arial"/>
      <family val="2"/>
    </font>
    <font>
      <sz val="10"/>
      <color theme="0"/>
      <name val="Calibri"/>
      <family val="2"/>
      <scheme val="minor"/>
    </font>
    <font>
      <b/>
      <sz val="12"/>
      <color theme="1"/>
      <name val="Calibri"/>
      <family val="2"/>
      <scheme val="minor"/>
    </font>
    <font>
      <b/>
      <i/>
      <sz val="12"/>
      <color theme="0"/>
      <name val="Symbol"/>
      <family val="1"/>
      <charset val="2"/>
    </font>
    <font>
      <b/>
      <i/>
      <sz val="12"/>
      <color theme="0"/>
      <name val="Times New Roman"/>
      <family val="1"/>
    </font>
    <font>
      <b/>
      <sz val="12"/>
      <color rgb="FFFFFFFF"/>
      <name val="Calibri"/>
      <family val="2"/>
      <scheme val="minor"/>
    </font>
    <font>
      <b/>
      <sz val="16"/>
      <color theme="0"/>
      <name val="Calibri"/>
      <family val="2"/>
      <scheme val="minor"/>
    </font>
    <font>
      <b/>
      <i/>
      <sz val="12"/>
      <color rgb="FFFFFFFF"/>
      <name val="Calibri"/>
      <family val="2"/>
      <scheme val="minor"/>
    </font>
    <font>
      <b/>
      <sz val="9"/>
      <color theme="0"/>
      <name val="Calibri"/>
      <family val="2"/>
      <scheme val="minor"/>
    </font>
    <font>
      <b/>
      <sz val="12"/>
      <color indexed="9"/>
      <name val="Calibri"/>
      <family val="2"/>
      <scheme val="minor"/>
    </font>
    <font>
      <b/>
      <sz val="12"/>
      <color rgb="FFFFFFFF"/>
      <name val="Times New Roman"/>
      <family val="1"/>
    </font>
  </fonts>
  <fills count="27">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4"/>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C0C0C0"/>
        <bgColor indexed="64"/>
      </patternFill>
    </fill>
    <fill>
      <patternFill patternType="solid">
        <fgColor rgb="FF00206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8"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78">
    <xf numFmtId="0" fontId="0" fillId="0" borderId="0"/>
    <xf numFmtId="0" fontId="49" fillId="0" borderId="0" applyNumberForma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84" fontId="46" fillId="0" borderId="0" applyFont="0" applyFill="0" applyBorder="0" applyAlignment="0" applyProtection="0"/>
    <xf numFmtId="165" fontId="2" fillId="0" borderId="0" applyFont="0" applyFill="0" applyBorder="0" applyAlignment="0" applyProtection="0"/>
    <xf numFmtId="165" fontId="25" fillId="0" borderId="0" applyFont="0" applyFill="0" applyBorder="0" applyAlignment="0" applyProtection="0"/>
    <xf numFmtId="165" fontId="2" fillId="0" borderId="0" applyFont="0" applyFill="0" applyBorder="0" applyAlignment="0" applyProtection="0"/>
    <xf numFmtId="165" fontId="2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6" fillId="0" borderId="0"/>
    <xf numFmtId="0" fontId="10" fillId="0" borderId="0"/>
    <xf numFmtId="0" fontId="2" fillId="0" borderId="0"/>
    <xf numFmtId="0" fontId="2" fillId="0" borderId="0"/>
    <xf numFmtId="0" fontId="2" fillId="0" borderId="0"/>
    <xf numFmtId="0" fontId="46" fillId="0" borderId="0"/>
    <xf numFmtId="0" fontId="2" fillId="0" borderId="0"/>
    <xf numFmtId="0" fontId="46" fillId="0" borderId="0"/>
    <xf numFmtId="0" fontId="46" fillId="0" borderId="0"/>
    <xf numFmtId="0" fontId="2" fillId="0" borderId="0"/>
    <xf numFmtId="0" fontId="46" fillId="0" borderId="0"/>
    <xf numFmtId="0" fontId="46" fillId="0" borderId="0"/>
    <xf numFmtId="0" fontId="2" fillId="0" borderId="0"/>
    <xf numFmtId="0" fontId="46" fillId="0" borderId="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4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4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868">
    <xf numFmtId="0" fontId="0" fillId="0" borderId="0" xfId="0"/>
    <xf numFmtId="39" fontId="46" fillId="2" borderId="1" xfId="56" applyNumberFormat="1" applyFont="1" applyFill="1" applyBorder="1" applyAlignment="1">
      <alignment horizontal="center" vertical="center"/>
    </xf>
    <xf numFmtId="166" fontId="46" fillId="2" borderId="1" xfId="16" applyNumberFormat="1" applyFill="1" applyBorder="1" applyAlignment="1">
      <alignment horizontal="center" vertical="center"/>
    </xf>
    <xf numFmtId="43" fontId="50" fillId="3" borderId="1" xfId="56" applyFont="1" applyFill="1" applyBorder="1"/>
    <xf numFmtId="39" fontId="46" fillId="4" borderId="1" xfId="56" applyNumberFormat="1" applyFont="1" applyFill="1" applyBorder="1" applyAlignment="1">
      <alignment horizontal="center" vertical="center"/>
    </xf>
    <xf numFmtId="0" fontId="51" fillId="0" borderId="0" xfId="0" applyFont="1"/>
    <xf numFmtId="0" fontId="52" fillId="0" borderId="0" xfId="0" applyFont="1"/>
    <xf numFmtId="0" fontId="52" fillId="0" borderId="0" xfId="0" applyFont="1" applyAlignment="1">
      <alignment horizontal="center" vertical="center"/>
    </xf>
    <xf numFmtId="0" fontId="51" fillId="0" borderId="0" xfId="0" applyFont="1" applyAlignment="1">
      <alignment horizontal="center"/>
    </xf>
    <xf numFmtId="0" fontId="53" fillId="0" borderId="0" xfId="0" applyFont="1" applyAlignment="1">
      <alignment horizontal="left"/>
    </xf>
    <xf numFmtId="0" fontId="53" fillId="0" borderId="0" xfId="0" applyFont="1" applyAlignment="1">
      <alignment horizontal="left" vertical="center" wrapText="1"/>
    </xf>
    <xf numFmtId="0" fontId="51" fillId="0" borderId="0" xfId="0" applyFont="1" applyAlignment="1">
      <alignment horizontal="center" wrapText="1"/>
    </xf>
    <xf numFmtId="0" fontId="53" fillId="0" borderId="0" xfId="0" applyFont="1" applyAlignment="1">
      <alignment horizontal="left" wrapText="1"/>
    </xf>
    <xf numFmtId="0" fontId="51" fillId="0" borderId="0" xfId="0" applyFont="1" applyAlignment="1">
      <alignment wrapText="1"/>
    </xf>
    <xf numFmtId="0" fontId="54" fillId="5" borderId="1" xfId="0" applyFont="1" applyFill="1" applyBorder="1" applyAlignment="1">
      <alignment horizontal="center" vertical="center" wrapText="1"/>
    </xf>
    <xf numFmtId="0" fontId="54" fillId="5" borderId="2" xfId="0" applyFont="1" applyFill="1" applyBorder="1" applyAlignment="1">
      <alignment horizontal="center" vertical="center" wrapText="1"/>
    </xf>
    <xf numFmtId="0" fontId="51" fillId="2" borderId="1" xfId="0" applyFont="1" applyFill="1" applyBorder="1" applyAlignment="1">
      <alignment horizontal="center"/>
    </xf>
    <xf numFmtId="0" fontId="51" fillId="2" borderId="2" xfId="0" applyFont="1" applyFill="1" applyBorder="1" applyAlignment="1">
      <alignment horizontal="center"/>
    </xf>
    <xf numFmtId="0" fontId="48" fillId="5" borderId="1" xfId="16" applyFont="1" applyFill="1" applyBorder="1" applyAlignment="1">
      <alignment horizontal="center" vertical="center"/>
    </xf>
    <xf numFmtId="0" fontId="55" fillId="0" borderId="0" xfId="0" applyFont="1"/>
    <xf numFmtId="0" fontId="56" fillId="0" borderId="0" xfId="0" applyFont="1"/>
    <xf numFmtId="0" fontId="57" fillId="0" borderId="0" xfId="16" applyFont="1"/>
    <xf numFmtId="0" fontId="58" fillId="0" borderId="0" xfId="0" applyFont="1" applyAlignment="1">
      <alignment horizontal="right"/>
    </xf>
    <xf numFmtId="0" fontId="58" fillId="0" borderId="0" xfId="0" applyFont="1" applyAlignment="1">
      <alignment horizontal="center"/>
    </xf>
    <xf numFmtId="166" fontId="50" fillId="3" borderId="1" xfId="56" applyNumberFormat="1" applyFont="1" applyFill="1" applyBorder="1"/>
    <xf numFmtId="0" fontId="58" fillId="0" borderId="0" xfId="0" applyFont="1" applyAlignment="1">
      <alignment horizontal="left"/>
    </xf>
    <xf numFmtId="0" fontId="55" fillId="0" borderId="0" xfId="0" applyFont="1" applyAlignment="1">
      <alignment horizontal="right"/>
    </xf>
    <xf numFmtId="0" fontId="58" fillId="0" borderId="0" xfId="0" applyFont="1"/>
    <xf numFmtId="167" fontId="46" fillId="0" borderId="0" xfId="56" applyNumberFormat="1" applyFont="1" applyFill="1" applyBorder="1" applyAlignment="1">
      <alignment horizontal="center" vertical="center"/>
    </xf>
    <xf numFmtId="167" fontId="46" fillId="6" borderId="1" xfId="56" applyNumberFormat="1" applyFont="1" applyFill="1" applyBorder="1" applyAlignment="1">
      <alignment horizontal="center" vertical="center"/>
    </xf>
    <xf numFmtId="7" fontId="46" fillId="3" borderId="1" xfId="56" applyNumberFormat="1" applyFont="1" applyFill="1" applyBorder="1"/>
    <xf numFmtId="0" fontId="9" fillId="0" borderId="0" xfId="0" applyFont="1"/>
    <xf numFmtId="0" fontId="59" fillId="0" borderId="0" xfId="0" applyFont="1" applyAlignment="1">
      <alignment vertical="center"/>
    </xf>
    <xf numFmtId="0" fontId="52" fillId="0" borderId="3" xfId="0" applyFont="1" applyBorder="1"/>
    <xf numFmtId="0" fontId="52" fillId="0" borderId="4" xfId="0" applyFont="1" applyBorder="1"/>
    <xf numFmtId="0" fontId="52" fillId="0" borderId="5" xfId="0" applyFont="1" applyBorder="1"/>
    <xf numFmtId="0" fontId="52" fillId="0" borderId="6" xfId="0" applyFont="1" applyBorder="1"/>
    <xf numFmtId="0" fontId="52" fillId="0" borderId="7" xfId="0" applyFont="1" applyBorder="1"/>
    <xf numFmtId="0" fontId="52" fillId="0" borderId="8" xfId="0" applyFont="1" applyBorder="1"/>
    <xf numFmtId="0" fontId="52" fillId="0" borderId="9" xfId="0" applyFont="1" applyBorder="1"/>
    <xf numFmtId="0" fontId="3" fillId="0" borderId="0" xfId="0" applyFont="1"/>
    <xf numFmtId="0" fontId="10" fillId="0" borderId="0" xfId="0" applyFont="1" applyAlignment="1">
      <alignment horizontal="center"/>
    </xf>
    <xf numFmtId="0" fontId="0" fillId="0" borderId="0" xfId="0" applyAlignment="1">
      <alignment horizontal="center"/>
    </xf>
    <xf numFmtId="39" fontId="46" fillId="3" borderId="1" xfId="56" applyNumberFormat="1" applyFont="1" applyFill="1" applyBorder="1" applyAlignment="1">
      <alignment horizontal="center" vertical="center"/>
    </xf>
    <xf numFmtId="0" fontId="55" fillId="0" borderId="0" xfId="0" applyFont="1" applyAlignment="1">
      <alignment vertical="center"/>
    </xf>
    <xf numFmtId="0" fontId="60" fillId="0" borderId="10" xfId="0" applyFont="1" applyBorder="1" applyAlignment="1">
      <alignment vertical="center" textRotation="90"/>
    </xf>
    <xf numFmtId="0" fontId="60" fillId="0" borderId="0" xfId="0" applyFont="1" applyAlignment="1">
      <alignment vertical="center" textRotation="90"/>
    </xf>
    <xf numFmtId="9" fontId="46" fillId="6" borderId="2" xfId="30" applyFont="1" applyFill="1" applyBorder="1" applyAlignment="1">
      <alignment horizontal="center" vertical="center"/>
    </xf>
    <xf numFmtId="0" fontId="57" fillId="0" borderId="0" xfId="16" applyFont="1" applyAlignment="1">
      <alignment horizontal="left"/>
    </xf>
    <xf numFmtId="9" fontId="46" fillId="0" borderId="0" xfId="30" applyFont="1" applyFill="1" applyBorder="1" applyAlignment="1">
      <alignment horizontal="center" vertical="center"/>
    </xf>
    <xf numFmtId="0" fontId="60" fillId="0" borderId="0" xfId="0" applyFont="1" applyAlignment="1">
      <alignment horizontal="left" vertical="center" textRotation="90"/>
    </xf>
    <xf numFmtId="0" fontId="58" fillId="4" borderId="1" xfId="0" applyFont="1" applyFill="1" applyBorder="1"/>
    <xf numFmtId="0" fontId="58" fillId="4" borderId="1" xfId="0" quotePrefix="1" applyFont="1" applyFill="1" applyBorder="1" applyAlignment="1">
      <alignment horizontal="center"/>
    </xf>
    <xf numFmtId="0" fontId="58" fillId="4" borderId="1" xfId="0" applyFont="1" applyFill="1" applyBorder="1" applyAlignment="1">
      <alignment horizontal="left"/>
    </xf>
    <xf numFmtId="177" fontId="52" fillId="4" borderId="1" xfId="0" applyNumberFormat="1" applyFont="1" applyFill="1" applyBorder="1" applyAlignment="1">
      <alignment horizontal="center"/>
    </xf>
    <xf numFmtId="167" fontId="46" fillId="4" borderId="1" xfId="56" applyNumberFormat="1" applyFont="1" applyFill="1" applyBorder="1" applyAlignment="1">
      <alignment horizontal="center" vertical="center"/>
    </xf>
    <xf numFmtId="167" fontId="46" fillId="7" borderId="1" xfId="56" applyNumberFormat="1" applyFont="1" applyFill="1" applyBorder="1" applyAlignment="1">
      <alignment horizontal="center" vertical="center"/>
    </xf>
    <xf numFmtId="167" fontId="46" fillId="7" borderId="11" xfId="56" applyNumberFormat="1" applyFont="1" applyFill="1" applyBorder="1" applyAlignment="1">
      <alignment horizontal="center" vertical="center"/>
    </xf>
    <xf numFmtId="0" fontId="52" fillId="0" borderId="0" xfId="0" applyFont="1" applyAlignment="1">
      <alignment horizontal="right"/>
    </xf>
    <xf numFmtId="7" fontId="52" fillId="0" borderId="0" xfId="0" applyNumberFormat="1" applyFont="1"/>
    <xf numFmtId="0" fontId="0" fillId="0" borderId="0" xfId="0" applyAlignment="1">
      <alignment vertical="center"/>
    </xf>
    <xf numFmtId="167" fontId="52" fillId="0" borderId="0" xfId="0" applyNumberFormat="1" applyFont="1"/>
    <xf numFmtId="178" fontId="52" fillId="0" borderId="0" xfId="30" applyNumberFormat="1" applyFont="1"/>
    <xf numFmtId="178" fontId="52" fillId="0" borderId="0" xfId="30" applyNumberFormat="1" applyFont="1" applyFill="1"/>
    <xf numFmtId="0" fontId="56" fillId="0" borderId="12" xfId="0" applyFont="1" applyBorder="1" applyAlignment="1">
      <alignment horizontal="center"/>
    </xf>
    <xf numFmtId="0" fontId="53" fillId="2" borderId="1" xfId="0" applyFont="1" applyFill="1" applyBorder="1" applyAlignment="1">
      <alignment horizontal="center" vertical="center" wrapText="1"/>
    </xf>
    <xf numFmtId="0" fontId="50" fillId="3" borderId="1" xfId="16" applyFont="1" applyFill="1" applyBorder="1" applyAlignment="1">
      <alignment horizontal="center" vertical="center"/>
    </xf>
    <xf numFmtId="39" fontId="46" fillId="8" borderId="1" xfId="56" applyNumberFormat="1" applyFont="1" applyFill="1" applyBorder="1" applyAlignment="1">
      <alignment horizontal="center" vertical="center"/>
    </xf>
    <xf numFmtId="0" fontId="54" fillId="9" borderId="1" xfId="0" applyFont="1" applyFill="1" applyBorder="1" applyAlignment="1">
      <alignment horizontal="center" vertical="center" wrapText="1"/>
    </xf>
    <xf numFmtId="3" fontId="51" fillId="8" borderId="1" xfId="0" applyNumberFormat="1" applyFont="1" applyFill="1" applyBorder="1" applyAlignment="1">
      <alignment horizontal="center"/>
    </xf>
    <xf numFmtId="3" fontId="46" fillId="8" borderId="1" xfId="54" applyNumberFormat="1" applyFont="1" applyFill="1" applyBorder="1" applyAlignment="1">
      <alignment horizontal="center" vertical="center"/>
    </xf>
    <xf numFmtId="3" fontId="61" fillId="8" borderId="1" xfId="0" applyNumberFormat="1" applyFont="1" applyFill="1" applyBorder="1" applyAlignment="1">
      <alignment vertical="center"/>
    </xf>
    <xf numFmtId="0" fontId="48" fillId="9" borderId="1" xfId="16" applyFont="1" applyFill="1" applyBorder="1" applyAlignment="1">
      <alignment horizontal="center" vertical="center"/>
    </xf>
    <xf numFmtId="0" fontId="58" fillId="0" borderId="0" xfId="0" applyFont="1" applyAlignment="1">
      <alignment vertical="center"/>
    </xf>
    <xf numFmtId="43" fontId="46" fillId="7" borderId="1" xfId="56" applyFont="1" applyFill="1" applyBorder="1"/>
    <xf numFmtId="43" fontId="46" fillId="7" borderId="1" xfId="56" applyFont="1" applyFill="1" applyBorder="1" applyAlignment="1">
      <alignment vertical="center"/>
    </xf>
    <xf numFmtId="0" fontId="4" fillId="0" borderId="0" xfId="0" applyFont="1"/>
    <xf numFmtId="0" fontId="4" fillId="0" borderId="0" xfId="0" applyFont="1" applyAlignment="1">
      <alignment vertical="center"/>
    </xf>
    <xf numFmtId="0" fontId="3" fillId="10" borderId="0" xfId="0" applyFont="1" applyFill="1"/>
    <xf numFmtId="0" fontId="3" fillId="10" borderId="0" xfId="0" applyFont="1" applyFill="1" applyAlignment="1">
      <alignment horizontal="left"/>
    </xf>
    <xf numFmtId="0" fontId="3" fillId="10" borderId="0" xfId="0" applyFont="1" applyFill="1" applyAlignment="1">
      <alignment vertical="center"/>
    </xf>
    <xf numFmtId="0" fontId="0" fillId="10" borderId="0" xfId="0" applyFill="1"/>
    <xf numFmtId="0" fontId="62" fillId="10" borderId="0" xfId="0" applyFont="1" applyFill="1"/>
    <xf numFmtId="0" fontId="52" fillId="10" borderId="0" xfId="0" applyFont="1" applyFill="1"/>
    <xf numFmtId="0" fontId="55" fillId="10" borderId="0" xfId="0" applyFont="1" applyFill="1"/>
    <xf numFmtId="0" fontId="63" fillId="10" borderId="0" xfId="0" applyFont="1" applyFill="1"/>
    <xf numFmtId="0" fontId="52" fillId="10" borderId="0" xfId="0" applyFont="1" applyFill="1" applyAlignment="1">
      <alignment vertical="center"/>
    </xf>
    <xf numFmtId="0" fontId="55" fillId="10" borderId="0" xfId="0" applyFont="1" applyFill="1" applyAlignment="1">
      <alignment vertical="center"/>
    </xf>
    <xf numFmtId="0" fontId="63" fillId="10" borderId="0" xfId="0" applyFont="1" applyFill="1" applyAlignment="1">
      <alignment horizontal="left" vertical="center"/>
    </xf>
    <xf numFmtId="0" fontId="63" fillId="10" borderId="0" xfId="0" applyFont="1" applyFill="1" applyAlignment="1">
      <alignment horizontal="left"/>
    </xf>
    <xf numFmtId="0" fontId="0" fillId="10" borderId="0" xfId="0" applyFill="1" applyAlignment="1">
      <alignment vertical="center"/>
    </xf>
    <xf numFmtId="0" fontId="63" fillId="10" borderId="0" xfId="0" applyFont="1" applyFill="1" applyAlignment="1">
      <alignment vertical="center"/>
    </xf>
    <xf numFmtId="0" fontId="18" fillId="0" borderId="0" xfId="0" applyFont="1"/>
    <xf numFmtId="0" fontId="10" fillId="8" borderId="2" xfId="0" applyFont="1" applyFill="1" applyBorder="1" applyAlignment="1">
      <alignment horizontal="center"/>
    </xf>
    <xf numFmtId="43" fontId="0" fillId="8" borderId="13" xfId="0" applyNumberFormat="1" applyFill="1" applyBorder="1"/>
    <xf numFmtId="4" fontId="0" fillId="0" borderId="0" xfId="0" applyNumberFormat="1"/>
    <xf numFmtId="4" fontId="0" fillId="8" borderId="13" xfId="0" applyNumberFormat="1" applyFill="1" applyBorder="1"/>
    <xf numFmtId="0" fontId="64" fillId="11" borderId="2" xfId="0" applyFont="1" applyFill="1" applyBorder="1" applyAlignment="1">
      <alignment horizontal="center"/>
    </xf>
    <xf numFmtId="4" fontId="64" fillId="11" borderId="13" xfId="0" applyNumberFormat="1" applyFont="1" applyFill="1" applyBorder="1"/>
    <xf numFmtId="0" fontId="64" fillId="11" borderId="14" xfId="0" applyFont="1" applyFill="1" applyBorder="1" applyAlignment="1">
      <alignment horizontal="center"/>
    </xf>
    <xf numFmtId="0" fontId="10" fillId="8" borderId="14" xfId="0" applyFont="1" applyFill="1" applyBorder="1" applyAlignment="1">
      <alignment horizontal="center"/>
    </xf>
    <xf numFmtId="0" fontId="64" fillId="11" borderId="15" xfId="0" applyFont="1" applyFill="1" applyBorder="1" applyAlignment="1">
      <alignment horizontal="center"/>
    </xf>
    <xf numFmtId="0" fontId="10" fillId="8" borderId="16" xfId="0" applyFont="1" applyFill="1" applyBorder="1" applyAlignment="1">
      <alignment horizontal="center"/>
    </xf>
    <xf numFmtId="0" fontId="10" fillId="8" borderId="17" xfId="0" applyFont="1" applyFill="1" applyBorder="1" applyAlignment="1">
      <alignment horizontal="center"/>
    </xf>
    <xf numFmtId="0" fontId="10" fillId="8" borderId="11" xfId="0" applyFont="1" applyFill="1" applyBorder="1" applyAlignment="1">
      <alignment horizontal="center"/>
    </xf>
    <xf numFmtId="4" fontId="46" fillId="8" borderId="1" xfId="54" applyNumberFormat="1" applyFont="1" applyFill="1" applyBorder="1" applyAlignment="1">
      <alignment horizontal="center" vertical="center"/>
    </xf>
    <xf numFmtId="169" fontId="46" fillId="4" borderId="1" xfId="56" applyNumberFormat="1" applyFont="1" applyFill="1" applyBorder="1" applyAlignment="1">
      <alignment horizontal="center" vertical="center"/>
    </xf>
    <xf numFmtId="169" fontId="46" fillId="8" borderId="1" xfId="56" applyNumberFormat="1" applyFont="1" applyFill="1" applyBorder="1" applyAlignment="1">
      <alignment horizontal="right" vertical="center"/>
    </xf>
    <xf numFmtId="3" fontId="57" fillId="3" borderId="2" xfId="16" applyNumberFormat="1" applyFont="1" applyFill="1" applyBorder="1" applyAlignment="1">
      <alignment horizontal="center"/>
    </xf>
    <xf numFmtId="7" fontId="65" fillId="8" borderId="1" xfId="56" applyNumberFormat="1" applyFont="1" applyFill="1" applyBorder="1" applyAlignment="1">
      <alignment horizontal="center" vertical="center"/>
    </xf>
    <xf numFmtId="7" fontId="56" fillId="8" borderId="1" xfId="0" applyNumberFormat="1" applyFont="1" applyFill="1" applyBorder="1" applyAlignment="1">
      <alignment horizontal="center"/>
    </xf>
    <xf numFmtId="0" fontId="64" fillId="9" borderId="15" xfId="0" applyFont="1" applyFill="1" applyBorder="1" applyAlignment="1">
      <alignment horizontal="center"/>
    </xf>
    <xf numFmtId="0" fontId="64" fillId="9" borderId="14" xfId="0" applyFont="1" applyFill="1" applyBorder="1" applyAlignment="1">
      <alignment horizontal="center"/>
    </xf>
    <xf numFmtId="4" fontId="64" fillId="9" borderId="13" xfId="0" applyNumberFormat="1" applyFont="1" applyFill="1" applyBorder="1"/>
    <xf numFmtId="0" fontId="64" fillId="9" borderId="2" xfId="0" applyFont="1" applyFill="1" applyBorder="1" applyAlignment="1">
      <alignment horizontal="center"/>
    </xf>
    <xf numFmtId="43" fontId="64" fillId="9" borderId="13" xfId="0" applyNumberFormat="1" applyFont="1" applyFill="1" applyBorder="1"/>
    <xf numFmtId="0" fontId="66" fillId="0" borderId="0" xfId="0" applyFont="1"/>
    <xf numFmtId="0" fontId="67" fillId="0" borderId="0" xfId="0" applyFont="1"/>
    <xf numFmtId="0" fontId="68" fillId="12" borderId="1" xfId="0" applyFont="1" applyFill="1" applyBorder="1" applyAlignment="1">
      <alignment horizontal="center" vertical="center" wrapText="1"/>
    </xf>
    <xf numFmtId="0" fontId="58" fillId="0" borderId="0" xfId="0" applyFont="1" applyAlignment="1">
      <alignment horizontal="left" vertical="center" wrapText="1"/>
    </xf>
    <xf numFmtId="0" fontId="58" fillId="2" borderId="1" xfId="0" applyFont="1" applyFill="1" applyBorder="1" applyAlignment="1">
      <alignment horizontal="center" vertical="center" wrapText="1"/>
    </xf>
    <xf numFmtId="0" fontId="48" fillId="9" borderId="16" xfId="16" applyFont="1" applyFill="1" applyBorder="1" applyAlignment="1">
      <alignment horizontal="center" vertical="center"/>
    </xf>
    <xf numFmtId="167" fontId="57" fillId="3" borderId="2" xfId="16" applyNumberFormat="1" applyFont="1" applyFill="1" applyBorder="1" applyAlignment="1">
      <alignment horizontal="center"/>
    </xf>
    <xf numFmtId="9" fontId="0" fillId="0" borderId="0" xfId="30" applyFont="1" applyFill="1"/>
    <xf numFmtId="169" fontId="46" fillId="8" borderId="1" xfId="56" applyNumberFormat="1" applyFont="1" applyFill="1" applyBorder="1" applyAlignment="1">
      <alignment horizontal="center" vertical="center"/>
    </xf>
    <xf numFmtId="0" fontId="48" fillId="9" borderId="1" xfId="0" applyFont="1" applyFill="1" applyBorder="1" applyAlignment="1">
      <alignment horizontal="center"/>
    </xf>
    <xf numFmtId="174" fontId="46" fillId="13" borderId="18" xfId="56" applyNumberFormat="1" applyFont="1" applyFill="1" applyBorder="1" applyAlignment="1">
      <alignment horizontal="center" vertical="center"/>
    </xf>
    <xf numFmtId="174" fontId="46" fillId="13" borderId="1" xfId="56" applyNumberFormat="1" applyFont="1" applyFill="1" applyBorder="1" applyAlignment="1">
      <alignment horizontal="center" vertical="center"/>
    </xf>
    <xf numFmtId="174" fontId="46" fillId="13" borderId="19" xfId="56" applyNumberFormat="1" applyFont="1" applyFill="1" applyBorder="1" applyAlignment="1">
      <alignment horizontal="center" vertical="center"/>
    </xf>
    <xf numFmtId="7" fontId="52" fillId="0" borderId="0" xfId="0" applyNumberFormat="1" applyFont="1" applyAlignment="1">
      <alignment horizontal="right"/>
    </xf>
    <xf numFmtId="170" fontId="56" fillId="8" borderId="1" xfId="0" applyNumberFormat="1" applyFont="1" applyFill="1" applyBorder="1" applyAlignment="1">
      <alignment horizontal="center"/>
    </xf>
    <xf numFmtId="0" fontId="3" fillId="10" borderId="0" xfId="0" applyFont="1" applyFill="1" applyAlignment="1">
      <alignment horizontal="left" vertical="center" wrapText="1"/>
    </xf>
    <xf numFmtId="2" fontId="69" fillId="4" borderId="13" xfId="0" applyNumberFormat="1" applyFont="1" applyFill="1" applyBorder="1" applyAlignment="1">
      <alignment horizontal="center" vertical="center" wrapText="1"/>
    </xf>
    <xf numFmtId="2" fontId="69" fillId="14" borderId="13" xfId="0" applyNumberFormat="1" applyFont="1" applyFill="1" applyBorder="1" applyAlignment="1">
      <alignment horizontal="center" vertical="center" wrapText="1"/>
    </xf>
    <xf numFmtId="0" fontId="70" fillId="10" borderId="13" xfId="0" applyFont="1" applyFill="1" applyBorder="1" applyAlignment="1">
      <alignment vertical="center" wrapText="1"/>
    </xf>
    <xf numFmtId="2" fontId="69" fillId="10" borderId="13" xfId="0" applyNumberFormat="1" applyFont="1" applyFill="1" applyBorder="1" applyAlignment="1">
      <alignment horizontal="center" vertical="center" wrapText="1"/>
    </xf>
    <xf numFmtId="0" fontId="71" fillId="9" borderId="1" xfId="0" applyFont="1" applyFill="1" applyBorder="1" applyAlignment="1">
      <alignment horizontal="center"/>
    </xf>
    <xf numFmtId="164" fontId="0" fillId="0" borderId="0" xfId="54" applyFont="1" applyFill="1"/>
    <xf numFmtId="10" fontId="0" fillId="0" borderId="0" xfId="0" applyNumberFormat="1"/>
    <xf numFmtId="10" fontId="46" fillId="4" borderId="1" xfId="30" applyNumberFormat="1" applyFont="1" applyFill="1" applyBorder="1" applyAlignment="1">
      <alignment horizontal="center" vertical="center"/>
    </xf>
    <xf numFmtId="168" fontId="64" fillId="9" borderId="13" xfId="0" applyNumberFormat="1" applyFont="1" applyFill="1" applyBorder="1"/>
    <xf numFmtId="0" fontId="72" fillId="12" borderId="1" xfId="0" applyFont="1" applyFill="1" applyBorder="1" applyAlignment="1">
      <alignment horizontal="center" vertical="center" wrapText="1"/>
    </xf>
    <xf numFmtId="0" fontId="66" fillId="15" borderId="1" xfId="0" applyFont="1" applyFill="1" applyBorder="1" applyAlignment="1">
      <alignment horizontal="center" vertical="center" wrapText="1"/>
    </xf>
    <xf numFmtId="0" fontId="73" fillId="12" borderId="1" xfId="0" applyFont="1" applyFill="1" applyBorder="1" applyAlignment="1">
      <alignment horizontal="center" vertical="center" wrapText="1"/>
    </xf>
    <xf numFmtId="10" fontId="66" fillId="15" borderId="1" xfId="30" applyNumberFormat="1" applyFont="1" applyFill="1" applyBorder="1" applyAlignment="1">
      <alignment horizontal="center" vertical="center" wrapText="1"/>
    </xf>
    <xf numFmtId="0" fontId="48" fillId="16" borderId="16" xfId="16" applyFont="1" applyFill="1" applyBorder="1" applyAlignment="1">
      <alignment horizontal="center" vertical="center"/>
    </xf>
    <xf numFmtId="167" fontId="46" fillId="16" borderId="18" xfId="56" applyNumberFormat="1" applyFont="1" applyFill="1" applyBorder="1" applyAlignment="1">
      <alignment horizontal="center" vertical="center"/>
    </xf>
    <xf numFmtId="167" fontId="46" fillId="16" borderId="1" xfId="56" applyNumberFormat="1" applyFont="1" applyFill="1" applyBorder="1" applyAlignment="1">
      <alignment horizontal="center" vertical="center"/>
    </xf>
    <xf numFmtId="167" fontId="46" fillId="16" borderId="19" xfId="56" applyNumberFormat="1" applyFont="1" applyFill="1" applyBorder="1" applyAlignment="1">
      <alignment horizontal="center" vertical="center"/>
    </xf>
    <xf numFmtId="167" fontId="46" fillId="8" borderId="18" xfId="56" applyNumberFormat="1" applyFont="1" applyFill="1" applyBorder="1" applyAlignment="1">
      <alignment horizontal="center" vertical="center"/>
    </xf>
    <xf numFmtId="167" fontId="46" fillId="8" borderId="20" xfId="56" applyNumberFormat="1" applyFont="1" applyFill="1" applyBorder="1" applyAlignment="1">
      <alignment horizontal="center" vertical="center"/>
    </xf>
    <xf numFmtId="167" fontId="46" fillId="8" borderId="1" xfId="56" applyNumberFormat="1" applyFont="1" applyFill="1" applyBorder="1" applyAlignment="1">
      <alignment horizontal="center" vertical="center"/>
    </xf>
    <xf numFmtId="167" fontId="46" fillId="8" borderId="2" xfId="56" applyNumberFormat="1" applyFont="1" applyFill="1" applyBorder="1" applyAlignment="1">
      <alignment horizontal="center" vertical="center"/>
    </xf>
    <xf numFmtId="167" fontId="46" fillId="8" borderId="19" xfId="56" applyNumberFormat="1" applyFont="1" applyFill="1" applyBorder="1" applyAlignment="1">
      <alignment horizontal="center" vertical="center"/>
    </xf>
    <xf numFmtId="167" fontId="46" fillId="8" borderId="21" xfId="56" applyNumberFormat="1" applyFont="1" applyFill="1" applyBorder="1" applyAlignment="1">
      <alignment horizontal="center" vertical="center"/>
    </xf>
    <xf numFmtId="167" fontId="46" fillId="14" borderId="18" xfId="56" applyNumberFormat="1" applyFont="1" applyFill="1" applyBorder="1" applyAlignment="1">
      <alignment horizontal="center" vertical="center"/>
    </xf>
    <xf numFmtId="167" fontId="46" fillId="14" borderId="1" xfId="56" applyNumberFormat="1" applyFont="1" applyFill="1" applyBorder="1" applyAlignment="1">
      <alignment horizontal="center" vertical="center"/>
    </xf>
    <xf numFmtId="167" fontId="46" fillId="14" borderId="19" xfId="56" applyNumberFormat="1" applyFont="1" applyFill="1" applyBorder="1" applyAlignment="1">
      <alignment horizontal="center" vertical="center"/>
    </xf>
    <xf numFmtId="167" fontId="46" fillId="14" borderId="20" xfId="56" applyNumberFormat="1" applyFont="1" applyFill="1" applyBorder="1" applyAlignment="1">
      <alignment horizontal="center" vertical="center"/>
    </xf>
    <xf numFmtId="167" fontId="46" fillId="14" borderId="2" xfId="56" applyNumberFormat="1" applyFont="1" applyFill="1" applyBorder="1" applyAlignment="1">
      <alignment horizontal="center" vertical="center"/>
    </xf>
    <xf numFmtId="167" fontId="46" fillId="14" borderId="21" xfId="56" applyNumberFormat="1" applyFont="1" applyFill="1" applyBorder="1" applyAlignment="1">
      <alignment horizontal="center" vertical="center"/>
    </xf>
    <xf numFmtId="0" fontId="48" fillId="16" borderId="22" xfId="16" applyFont="1" applyFill="1" applyBorder="1" applyAlignment="1">
      <alignment horizontal="center" vertical="center"/>
    </xf>
    <xf numFmtId="167" fontId="46" fillId="8" borderId="23" xfId="56" applyNumberFormat="1" applyFont="1" applyFill="1" applyBorder="1" applyAlignment="1">
      <alignment horizontal="center" vertical="center"/>
    </xf>
    <xf numFmtId="167" fontId="46" fillId="8" borderId="24" xfId="56" applyNumberFormat="1" applyFont="1" applyFill="1" applyBorder="1" applyAlignment="1">
      <alignment horizontal="center" vertical="center"/>
    </xf>
    <xf numFmtId="167" fontId="46" fillId="8" borderId="25" xfId="56" applyNumberFormat="1" applyFont="1" applyFill="1" applyBorder="1" applyAlignment="1">
      <alignment horizontal="center" vertical="center"/>
    </xf>
    <xf numFmtId="167" fontId="46" fillId="14" borderId="11" xfId="56" applyNumberFormat="1" applyFont="1" applyFill="1" applyBorder="1" applyAlignment="1">
      <alignment horizontal="center" vertical="center"/>
    </xf>
    <xf numFmtId="0" fontId="48" fillId="9" borderId="24" xfId="16" applyFont="1" applyFill="1" applyBorder="1" applyAlignment="1">
      <alignment horizontal="center" vertical="center"/>
    </xf>
    <xf numFmtId="7" fontId="65" fillId="8" borderId="26" xfId="56" applyNumberFormat="1" applyFont="1" applyFill="1" applyBorder="1" applyAlignment="1">
      <alignment horizontal="center" vertical="center"/>
    </xf>
    <xf numFmtId="39" fontId="47" fillId="17" borderId="1" xfId="56" applyNumberFormat="1" applyFont="1" applyFill="1" applyBorder="1" applyAlignment="1">
      <alignment horizontal="center" vertical="center"/>
    </xf>
    <xf numFmtId="39" fontId="48" fillId="17" borderId="1" xfId="56" applyNumberFormat="1" applyFont="1" applyFill="1" applyBorder="1" applyAlignment="1">
      <alignment horizontal="center" vertical="center"/>
    </xf>
    <xf numFmtId="43" fontId="0" fillId="0" borderId="0" xfId="0" applyNumberFormat="1"/>
    <xf numFmtId="10" fontId="0" fillId="0" borderId="0" xfId="30" applyNumberFormat="1" applyFont="1" applyFill="1"/>
    <xf numFmtId="4" fontId="64" fillId="11" borderId="14" xfId="0" applyNumberFormat="1" applyFont="1" applyFill="1" applyBorder="1"/>
    <xf numFmtId="178" fontId="46" fillId="6" borderId="27" xfId="30" applyNumberFormat="1" applyFont="1" applyFill="1" applyBorder="1" applyAlignment="1">
      <alignment horizontal="center" vertical="center"/>
    </xf>
    <xf numFmtId="178" fontId="46" fillId="6" borderId="24" xfId="30" applyNumberFormat="1" applyFont="1" applyFill="1" applyBorder="1" applyAlignment="1">
      <alignment horizontal="center" vertical="center"/>
    </xf>
    <xf numFmtId="167" fontId="46" fillId="2" borderId="1" xfId="56" applyNumberFormat="1" applyFont="1" applyFill="1" applyBorder="1" applyAlignment="1">
      <alignment horizontal="center" vertical="center"/>
    </xf>
    <xf numFmtId="0" fontId="48" fillId="12" borderId="1" xfId="0" applyFont="1" applyFill="1" applyBorder="1" applyAlignment="1">
      <alignment horizontal="center"/>
    </xf>
    <xf numFmtId="43" fontId="46" fillId="15" borderId="1" xfId="56" applyFont="1" applyFill="1" applyBorder="1"/>
    <xf numFmtId="43" fontId="2" fillId="0" borderId="0" xfId="0" applyNumberFormat="1" applyFont="1"/>
    <xf numFmtId="165" fontId="0" fillId="0" borderId="0" xfId="2" applyFont="1" applyFill="1"/>
    <xf numFmtId="44" fontId="0" fillId="0" borderId="0" xfId="0" applyNumberFormat="1"/>
    <xf numFmtId="181" fontId="46" fillId="8" borderId="1" xfId="54" applyNumberFormat="1" applyFont="1" applyFill="1" applyBorder="1" applyAlignment="1">
      <alignment horizontal="center" vertical="center"/>
    </xf>
    <xf numFmtId="169" fontId="46" fillId="18" borderId="1" xfId="56" applyNumberFormat="1" applyFont="1" applyFill="1" applyBorder="1" applyAlignment="1">
      <alignment horizontal="center" vertical="center"/>
    </xf>
    <xf numFmtId="9" fontId="66" fillId="15" borderId="1" xfId="18" applyNumberFormat="1" applyFont="1" applyFill="1" applyBorder="1" applyAlignment="1">
      <alignment horizontal="center" vertical="center" wrapText="1"/>
    </xf>
    <xf numFmtId="10" fontId="69" fillId="15" borderId="1" xfId="30" applyNumberFormat="1" applyFont="1" applyFill="1" applyBorder="1" applyAlignment="1">
      <alignment horizontal="center" vertical="center" wrapText="1"/>
    </xf>
    <xf numFmtId="0" fontId="48" fillId="12" borderId="2" xfId="0" applyFont="1" applyFill="1" applyBorder="1"/>
    <xf numFmtId="9" fontId="56" fillId="15" borderId="1" xfId="30" applyFont="1" applyFill="1" applyBorder="1" applyAlignment="1">
      <alignment horizontal="center"/>
    </xf>
    <xf numFmtId="0" fontId="72" fillId="12" borderId="2" xfId="0" applyFont="1" applyFill="1" applyBorder="1" applyAlignment="1">
      <alignment horizontal="center" vertical="center" wrapText="1"/>
    </xf>
    <xf numFmtId="0" fontId="72" fillId="12" borderId="13" xfId="0" applyFont="1" applyFill="1" applyBorder="1" applyAlignment="1">
      <alignment horizontal="center" vertical="center" wrapText="1"/>
    </xf>
    <xf numFmtId="0" fontId="2" fillId="0" borderId="0" xfId="18" applyAlignment="1">
      <alignment horizontal="right"/>
    </xf>
    <xf numFmtId="0" fontId="2" fillId="0" borderId="0" xfId="18"/>
    <xf numFmtId="0" fontId="58" fillId="0" borderId="0" xfId="18" applyFont="1" applyAlignment="1">
      <alignment horizontal="right"/>
    </xf>
    <xf numFmtId="0" fontId="58" fillId="0" borderId="0" xfId="18" applyFont="1"/>
    <xf numFmtId="0" fontId="52" fillId="0" borderId="3" xfId="18" applyFont="1" applyBorder="1"/>
    <xf numFmtId="0" fontId="56" fillId="0" borderId="12" xfId="18" applyFont="1" applyBorder="1" applyAlignment="1">
      <alignment horizontal="center"/>
    </xf>
    <xf numFmtId="0" fontId="52" fillId="0" borderId="4" xfId="18" applyFont="1" applyBorder="1"/>
    <xf numFmtId="9" fontId="2" fillId="0" borderId="0" xfId="18" applyNumberFormat="1"/>
    <xf numFmtId="0" fontId="52" fillId="0" borderId="5" xfId="18" applyFont="1" applyBorder="1"/>
    <xf numFmtId="0" fontId="55" fillId="0" borderId="0" xfId="18" applyFont="1" applyAlignment="1">
      <alignment vertical="center"/>
    </xf>
    <xf numFmtId="0" fontId="52" fillId="0" borderId="6" xfId="18" applyFont="1" applyBorder="1"/>
    <xf numFmtId="0" fontId="52" fillId="0" borderId="7" xfId="18" applyFont="1" applyBorder="1"/>
    <xf numFmtId="0" fontId="52" fillId="0" borderId="8" xfId="18" applyFont="1" applyBorder="1"/>
    <xf numFmtId="0" fontId="52" fillId="0" borderId="9" xfId="18" applyFont="1" applyBorder="1"/>
    <xf numFmtId="0" fontId="22" fillId="0" borderId="3" xfId="18" applyFont="1" applyBorder="1" applyAlignment="1">
      <alignment horizontal="center"/>
    </xf>
    <xf numFmtId="0" fontId="22" fillId="0" borderId="12" xfId="18" applyFont="1" applyBorder="1" applyAlignment="1">
      <alignment horizontal="center"/>
    </xf>
    <xf numFmtId="0" fontId="22" fillId="0" borderId="4" xfId="18" applyFont="1" applyBorder="1" applyAlignment="1">
      <alignment horizontal="center"/>
    </xf>
    <xf numFmtId="10" fontId="23" fillId="0" borderId="5" xfId="36" applyNumberFormat="1" applyFont="1" applyBorder="1" applyAlignment="1">
      <alignment horizontal="center" vertical="center"/>
    </xf>
    <xf numFmtId="10" fontId="23" fillId="0" borderId="0" xfId="36" applyNumberFormat="1" applyFont="1" applyBorder="1" applyAlignment="1">
      <alignment horizontal="center" vertical="center"/>
    </xf>
    <xf numFmtId="10" fontId="23" fillId="0" borderId="6" xfId="36" applyNumberFormat="1" applyFont="1" applyBorder="1" applyAlignment="1">
      <alignment horizontal="center" vertical="center"/>
    </xf>
    <xf numFmtId="0" fontId="48" fillId="12" borderId="1" xfId="18" applyFont="1" applyFill="1" applyBorder="1" applyAlignment="1">
      <alignment horizontal="center"/>
    </xf>
    <xf numFmtId="10" fontId="56" fillId="4" borderId="1" xfId="43" applyNumberFormat="1" applyFont="1" applyFill="1" applyBorder="1" applyAlignment="1">
      <alignment horizontal="center"/>
    </xf>
    <xf numFmtId="0" fontId="74" fillId="0" borderId="0" xfId="18" applyFont="1"/>
    <xf numFmtId="0" fontId="2" fillId="0" borderId="0" xfId="18" applyAlignment="1">
      <alignment horizontal="center" vertical="center"/>
    </xf>
    <xf numFmtId="0" fontId="58" fillId="0" borderId="0" xfId="18" applyFont="1" applyAlignment="1">
      <alignment horizontal="right" vertical="center"/>
    </xf>
    <xf numFmtId="0" fontId="58" fillId="0" borderId="0" xfId="18" applyFont="1" applyAlignment="1">
      <alignment horizontal="left" vertical="center"/>
    </xf>
    <xf numFmtId="0" fontId="75" fillId="19" borderId="1" xfId="18" applyFont="1" applyFill="1" applyBorder="1" applyAlignment="1">
      <alignment horizontal="center" vertical="center"/>
    </xf>
    <xf numFmtId="0" fontId="75" fillId="19" borderId="1" xfId="18" applyFont="1" applyFill="1" applyBorder="1" applyAlignment="1">
      <alignment horizontal="center" vertical="center" wrapText="1"/>
    </xf>
    <xf numFmtId="0" fontId="76" fillId="0" borderId="1" xfId="18" applyFont="1" applyBorder="1" applyAlignment="1">
      <alignment horizontal="center" vertical="center" wrapText="1"/>
    </xf>
    <xf numFmtId="0" fontId="2" fillId="2" borderId="1" xfId="18" applyFill="1" applyBorder="1" applyAlignment="1">
      <alignment horizontal="center" vertical="center"/>
    </xf>
    <xf numFmtId="0" fontId="76" fillId="2" borderId="1" xfId="18" applyFont="1" applyFill="1" applyBorder="1" applyAlignment="1">
      <alignment horizontal="center" vertical="center" wrapText="1"/>
    </xf>
    <xf numFmtId="0" fontId="76" fillId="0" borderId="16" xfId="18" applyFont="1" applyBorder="1" applyAlignment="1">
      <alignment horizontal="center" vertical="center" wrapText="1"/>
    </xf>
    <xf numFmtId="0" fontId="76" fillId="0" borderId="2" xfId="18" applyFont="1" applyBorder="1" applyAlignment="1">
      <alignment horizontal="center" vertical="center" wrapText="1"/>
    </xf>
    <xf numFmtId="0" fontId="76" fillId="0" borderId="0" xfId="18" applyFont="1" applyAlignment="1">
      <alignment horizontal="center" vertical="center" wrapText="1"/>
    </xf>
    <xf numFmtId="0" fontId="76" fillId="0" borderId="0" xfId="18" applyFont="1" applyAlignment="1">
      <alignment vertical="top" wrapText="1"/>
    </xf>
    <xf numFmtId="0" fontId="76" fillId="0" borderId="1" xfId="18" applyFont="1" applyBorder="1" applyAlignment="1">
      <alignment horizontal="center" vertical="center"/>
    </xf>
    <xf numFmtId="0" fontId="2" fillId="0" borderId="1" xfId="18" applyBorder="1" applyAlignment="1">
      <alignment horizontal="center"/>
    </xf>
    <xf numFmtId="4" fontId="2" fillId="0" borderId="1" xfId="18" applyNumberFormat="1" applyBorder="1"/>
    <xf numFmtId="0" fontId="2" fillId="0" borderId="1" xfId="18" applyBorder="1"/>
    <xf numFmtId="9" fontId="2" fillId="0" borderId="1" xfId="32" applyFont="1" applyBorder="1" applyAlignment="1">
      <alignment horizontal="center"/>
    </xf>
    <xf numFmtId="39" fontId="50" fillId="3" borderId="1" xfId="56" applyNumberFormat="1" applyFont="1" applyFill="1" applyBorder="1" applyAlignment="1">
      <alignment horizontal="center" vertical="center"/>
    </xf>
    <xf numFmtId="9" fontId="2" fillId="0" borderId="1" xfId="18" applyNumberFormat="1" applyBorder="1" applyAlignment="1">
      <alignment horizontal="center"/>
    </xf>
    <xf numFmtId="0" fontId="76" fillId="0" borderId="0" xfId="18" applyFont="1" applyAlignment="1">
      <alignment horizontal="left" vertical="top" wrapText="1"/>
    </xf>
    <xf numFmtId="182" fontId="2" fillId="0" borderId="0" xfId="18" applyNumberFormat="1" applyAlignment="1">
      <alignment horizontal="center"/>
    </xf>
    <xf numFmtId="10" fontId="2" fillId="0" borderId="0" xfId="18" applyNumberFormat="1" applyAlignment="1">
      <alignment horizontal="center"/>
    </xf>
    <xf numFmtId="4" fontId="2" fillId="0" borderId="0" xfId="18" applyNumberFormat="1"/>
    <xf numFmtId="176" fontId="74" fillId="0" borderId="0" xfId="36" applyNumberFormat="1" applyFont="1" applyFill="1" applyBorder="1" applyAlignment="1">
      <alignment horizontal="center"/>
    </xf>
    <xf numFmtId="4" fontId="53" fillId="0" borderId="0" xfId="0" applyNumberFormat="1" applyFont="1" applyAlignment="1">
      <alignment horizontal="left"/>
    </xf>
    <xf numFmtId="3" fontId="51" fillId="0" borderId="0" xfId="0" applyNumberFormat="1" applyFont="1"/>
    <xf numFmtId="0" fontId="3" fillId="10" borderId="28" xfId="0" applyFont="1" applyFill="1" applyBorder="1" applyAlignment="1">
      <alignment horizontal="left"/>
    </xf>
    <xf numFmtId="16" fontId="0" fillId="0" borderId="0" xfId="0" quotePrefix="1" applyNumberFormat="1"/>
    <xf numFmtId="0" fontId="0" fillId="0" borderId="0" xfId="0" quotePrefix="1"/>
    <xf numFmtId="0" fontId="63" fillId="0" borderId="0" xfId="0" applyFont="1" applyAlignment="1">
      <alignment horizontal="left" vertical="center"/>
    </xf>
    <xf numFmtId="0" fontId="52" fillId="8" borderId="1" xfId="0" applyFont="1" applyFill="1" applyBorder="1" applyAlignment="1">
      <alignment horizontal="left"/>
    </xf>
    <xf numFmtId="0" fontId="52" fillId="0" borderId="1" xfId="0" applyFont="1" applyBorder="1" applyAlignment="1">
      <alignment horizontal="center"/>
    </xf>
    <xf numFmtId="9" fontId="52" fillId="0" borderId="1" xfId="0" applyNumberFormat="1" applyFont="1" applyBorder="1" applyAlignment="1">
      <alignment horizontal="center"/>
    </xf>
    <xf numFmtId="0" fontId="72" fillId="11" borderId="2" xfId="0" applyFont="1" applyFill="1" applyBorder="1" applyAlignment="1">
      <alignment horizontal="center" vertical="center" wrapText="1"/>
    </xf>
    <xf numFmtId="0" fontId="72" fillId="11" borderId="13" xfId="0" applyFont="1" applyFill="1" applyBorder="1" applyAlignment="1">
      <alignment horizontal="center" vertical="center" wrapText="1"/>
    </xf>
    <xf numFmtId="0" fontId="48" fillId="11" borderId="1" xfId="0" applyFont="1" applyFill="1" applyBorder="1"/>
    <xf numFmtId="0" fontId="56" fillId="3" borderId="1" xfId="0" applyFont="1" applyFill="1" applyBorder="1"/>
    <xf numFmtId="0" fontId="48" fillId="20" borderId="1" xfId="0" applyFont="1" applyFill="1" applyBorder="1" applyAlignment="1">
      <alignment horizontal="center"/>
    </xf>
    <xf numFmtId="2" fontId="56" fillId="3" borderId="1" xfId="30" applyNumberFormat="1" applyFont="1" applyFill="1" applyBorder="1" applyAlignment="1">
      <alignment horizontal="center"/>
    </xf>
    <xf numFmtId="5" fontId="46" fillId="2" borderId="1" xfId="56" applyNumberFormat="1" applyFont="1" applyFill="1" applyBorder="1" applyAlignment="1">
      <alignment horizontal="center" vertical="center"/>
    </xf>
    <xf numFmtId="164" fontId="46" fillId="3" borderId="1" xfId="54" applyFont="1" applyFill="1" applyBorder="1"/>
    <xf numFmtId="172" fontId="46" fillId="7" borderId="1" xfId="56" applyNumberFormat="1" applyFont="1" applyFill="1" applyBorder="1"/>
    <xf numFmtId="171" fontId="46" fillId="15" borderId="1" xfId="56" applyNumberFormat="1" applyFont="1" applyFill="1" applyBorder="1" applyAlignment="1">
      <alignment vertical="center"/>
    </xf>
    <xf numFmtId="9" fontId="55" fillId="7" borderId="1" xfId="48" applyFont="1" applyFill="1" applyBorder="1"/>
    <xf numFmtId="9" fontId="55" fillId="7" borderId="1" xfId="36" applyFont="1" applyFill="1" applyBorder="1"/>
    <xf numFmtId="183" fontId="50" fillId="15" borderId="13" xfId="23" applyNumberFormat="1" applyFont="1" applyFill="1" applyBorder="1" applyAlignment="1">
      <alignment horizontal="center" vertical="center"/>
    </xf>
    <xf numFmtId="20" fontId="50" fillId="15" borderId="1" xfId="23" applyNumberFormat="1" applyFont="1" applyFill="1" applyBorder="1" applyAlignment="1">
      <alignment horizontal="center" vertical="center"/>
    </xf>
    <xf numFmtId="4" fontId="46" fillId="4" borderId="1" xfId="23" applyNumberFormat="1" applyFill="1" applyBorder="1" applyAlignment="1">
      <alignment horizontal="center" vertical="center"/>
    </xf>
    <xf numFmtId="0" fontId="76" fillId="0" borderId="1" xfId="0" applyFont="1" applyBorder="1" applyAlignment="1">
      <alignment horizontal="left" vertical="top" wrapText="1"/>
    </xf>
    <xf numFmtId="165" fontId="26" fillId="10" borderId="0" xfId="2" applyFont="1" applyFill="1"/>
    <xf numFmtId="0" fontId="76" fillId="0" borderId="1" xfId="0" applyFont="1" applyBorder="1" applyAlignment="1">
      <alignment horizontal="left" vertical="center" wrapText="1"/>
    </xf>
    <xf numFmtId="0" fontId="76" fillId="0" borderId="1" xfId="0" applyFont="1" applyBorder="1" applyAlignment="1">
      <alignment vertical="top" wrapText="1"/>
    </xf>
    <xf numFmtId="0" fontId="18" fillId="10" borderId="0" xfId="0" applyFont="1" applyFill="1"/>
    <xf numFmtId="0" fontId="2" fillId="10" borderId="0" xfId="0" applyFont="1" applyFill="1"/>
    <xf numFmtId="0" fontId="0" fillId="10" borderId="0" xfId="0" applyFill="1" applyAlignment="1">
      <alignment horizontal="right"/>
    </xf>
    <xf numFmtId="0" fontId="18" fillId="10" borderId="0" xfId="0" applyFont="1" applyFill="1" applyAlignment="1">
      <alignment horizontal="right"/>
    </xf>
    <xf numFmtId="0" fontId="18" fillId="0" borderId="1" xfId="0" applyFont="1" applyBorder="1" applyAlignment="1">
      <alignment horizontal="right"/>
    </xf>
    <xf numFmtId="165" fontId="18" fillId="3" borderId="1" xfId="2" applyFont="1" applyFill="1" applyBorder="1"/>
    <xf numFmtId="165" fontId="26" fillId="2" borderId="1" xfId="2" applyFont="1" applyFill="1" applyBorder="1"/>
    <xf numFmtId="165" fontId="26" fillId="3" borderId="1" xfId="2" applyFont="1" applyFill="1" applyBorder="1"/>
    <xf numFmtId="165" fontId="0" fillId="0" borderId="0" xfId="0" applyNumberFormat="1"/>
    <xf numFmtId="0" fontId="77" fillId="21" borderId="1" xfId="16" applyFont="1" applyFill="1" applyBorder="1" applyAlignment="1">
      <alignment horizontal="center" vertical="center"/>
    </xf>
    <xf numFmtId="0" fontId="78" fillId="9" borderId="1" xfId="0" applyFont="1" applyFill="1" applyBorder="1" applyAlignment="1">
      <alignment horizontal="left" vertical="center" wrapText="1"/>
    </xf>
    <xf numFmtId="0" fontId="3" fillId="10" borderId="0" xfId="0" applyFont="1" applyFill="1" applyAlignment="1">
      <alignment horizontal="left" vertical="center"/>
    </xf>
    <xf numFmtId="0" fontId="56" fillId="8" borderId="29" xfId="0" applyFont="1" applyFill="1" applyBorder="1" applyAlignment="1">
      <alignment horizontal="center" vertical="center"/>
    </xf>
    <xf numFmtId="0" fontId="56" fillId="8" borderId="30" xfId="0" applyFont="1" applyFill="1" applyBorder="1" applyAlignment="1">
      <alignment horizontal="center" vertical="center"/>
    </xf>
    <xf numFmtId="0" fontId="56" fillId="8" borderId="31" xfId="0" applyFont="1" applyFill="1" applyBorder="1" applyAlignment="1">
      <alignment horizontal="center" vertical="center"/>
    </xf>
    <xf numFmtId="0" fontId="77" fillId="21" borderId="13" xfId="16" applyFont="1" applyFill="1" applyBorder="1" applyAlignment="1">
      <alignment vertical="center"/>
    </xf>
    <xf numFmtId="0" fontId="71" fillId="9" borderId="2" xfId="16" applyFont="1" applyFill="1" applyBorder="1" applyAlignment="1">
      <alignment vertical="center"/>
    </xf>
    <xf numFmtId="0" fontId="71" fillId="9" borderId="13" xfId="16" applyFont="1" applyFill="1" applyBorder="1" applyAlignment="1">
      <alignment vertical="center"/>
    </xf>
    <xf numFmtId="37" fontId="46" fillId="3" borderId="1" xfId="56" applyNumberFormat="1" applyFont="1" applyFill="1" applyBorder="1" applyAlignment="1">
      <alignment horizontal="center" vertical="center"/>
    </xf>
    <xf numFmtId="0" fontId="6" fillId="0" borderId="0" xfId="0" applyFont="1" applyAlignment="1">
      <alignment horizontal="left"/>
    </xf>
    <xf numFmtId="0" fontId="50" fillId="21" borderId="2" xfId="16" applyFont="1" applyFill="1" applyBorder="1" applyAlignment="1">
      <alignment vertical="center"/>
    </xf>
    <xf numFmtId="0" fontId="30" fillId="0" borderId="0" xfId="0" applyFont="1"/>
    <xf numFmtId="0" fontId="56" fillId="15" borderId="1" xfId="0" applyFont="1" applyFill="1" applyBorder="1" applyAlignment="1">
      <alignment horizontal="center"/>
    </xf>
    <xf numFmtId="0" fontId="52" fillId="6" borderId="1" xfId="0" applyFont="1" applyFill="1" applyBorder="1" applyAlignment="1">
      <alignment horizontal="center"/>
    </xf>
    <xf numFmtId="0" fontId="9" fillId="0" borderId="0" xfId="0" applyFont="1" applyAlignment="1">
      <alignment horizontal="left"/>
    </xf>
    <xf numFmtId="0" fontId="55" fillId="0" borderId="0" xfId="0" applyFont="1" applyAlignment="1">
      <alignment horizontal="left"/>
    </xf>
    <xf numFmtId="0" fontId="29" fillId="0" borderId="0" xfId="0" applyFont="1" applyAlignment="1">
      <alignment horizontal="right"/>
    </xf>
    <xf numFmtId="0" fontId="63" fillId="0" borderId="0" xfId="0" applyFont="1"/>
    <xf numFmtId="0" fontId="52" fillId="0" borderId="0" xfId="0" applyFont="1" applyAlignment="1">
      <alignment horizontal="left"/>
    </xf>
    <xf numFmtId="0" fontId="4" fillId="0" borderId="0" xfId="0" applyFont="1" applyAlignment="1">
      <alignment horizontal="right"/>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xf>
    <xf numFmtId="0" fontId="79" fillId="10" borderId="0" xfId="0" applyFont="1" applyFill="1" applyAlignment="1">
      <alignment horizontal="left"/>
    </xf>
    <xf numFmtId="0" fontId="4" fillId="10" borderId="0" xfId="0" applyFont="1" applyFill="1" applyAlignment="1">
      <alignment horizontal="right"/>
    </xf>
    <xf numFmtId="0" fontId="4" fillId="10" borderId="0" xfId="0" applyFont="1" applyFill="1" applyAlignment="1">
      <alignment horizontal="right" vertical="center"/>
    </xf>
    <xf numFmtId="0" fontId="3" fillId="10" borderId="0" xfId="0" applyFont="1" applyFill="1" applyAlignment="1">
      <alignment horizontal="right"/>
    </xf>
    <xf numFmtId="0" fontId="3" fillId="10" borderId="0" xfId="0" applyFont="1" applyFill="1" applyAlignment="1">
      <alignment horizontal="right" vertical="center"/>
    </xf>
    <xf numFmtId="0" fontId="6" fillId="0" borderId="0" xfId="0" applyFont="1"/>
    <xf numFmtId="0" fontId="66" fillId="15" borderId="11" xfId="0" applyFont="1" applyFill="1" applyBorder="1" applyAlignment="1">
      <alignment horizontal="center" vertical="center" wrapText="1"/>
    </xf>
    <xf numFmtId="177" fontId="52" fillId="0" borderId="0" xfId="0" applyNumberFormat="1" applyFont="1" applyAlignment="1">
      <alignment horizontal="center"/>
    </xf>
    <xf numFmtId="0" fontId="18" fillId="0" borderId="0" xfId="0" applyFont="1" applyAlignment="1">
      <alignment horizontal="left" vertical="center"/>
    </xf>
    <xf numFmtId="0" fontId="56" fillId="0" borderId="0" xfId="0" applyFont="1" applyAlignment="1">
      <alignment horizontal="right"/>
    </xf>
    <xf numFmtId="0" fontId="48" fillId="9" borderId="1" xfId="18" applyFont="1" applyFill="1" applyBorder="1" applyAlignment="1">
      <alignment horizontal="center"/>
    </xf>
    <xf numFmtId="178" fontId="52" fillId="0" borderId="0" xfId="0" applyNumberFormat="1" applyFont="1"/>
    <xf numFmtId="167" fontId="46" fillId="16" borderId="11" xfId="56" applyNumberFormat="1" applyFont="1" applyFill="1" applyBorder="1" applyAlignment="1">
      <alignment horizontal="center" vertical="center"/>
    </xf>
    <xf numFmtId="167" fontId="46" fillId="16" borderId="16" xfId="56" applyNumberFormat="1" applyFont="1" applyFill="1" applyBorder="1" applyAlignment="1">
      <alignment horizontal="center" vertical="center"/>
    </xf>
    <xf numFmtId="167" fontId="46" fillId="8" borderId="16" xfId="56" applyNumberFormat="1" applyFont="1" applyFill="1" applyBorder="1" applyAlignment="1">
      <alignment horizontal="center" vertical="center"/>
    </xf>
    <xf numFmtId="167" fontId="46" fillId="8" borderId="11" xfId="56" applyNumberFormat="1" applyFont="1" applyFill="1" applyBorder="1" applyAlignment="1">
      <alignment horizontal="center" vertical="center"/>
    </xf>
    <xf numFmtId="167" fontId="46" fillId="8" borderId="32" xfId="56" applyNumberFormat="1" applyFont="1" applyFill="1" applyBorder="1" applyAlignment="1">
      <alignment horizontal="center" vertical="center"/>
    </xf>
    <xf numFmtId="167" fontId="46" fillId="8" borderId="22" xfId="56" applyNumberFormat="1" applyFont="1" applyFill="1" applyBorder="1" applyAlignment="1">
      <alignment horizontal="center" vertical="center"/>
    </xf>
    <xf numFmtId="167" fontId="46" fillId="8" borderId="27" xfId="56" applyNumberFormat="1" applyFont="1" applyFill="1" applyBorder="1" applyAlignment="1">
      <alignment horizontal="center" vertical="center"/>
    </xf>
    <xf numFmtId="178" fontId="46" fillId="6" borderId="33" xfId="30" applyNumberFormat="1" applyFont="1" applyFill="1" applyBorder="1" applyAlignment="1">
      <alignment horizontal="center" vertical="center"/>
    </xf>
    <xf numFmtId="178" fontId="46" fillId="6" borderId="34" xfId="30" applyNumberFormat="1" applyFont="1" applyFill="1" applyBorder="1" applyAlignment="1">
      <alignment horizontal="center" vertical="center"/>
    </xf>
    <xf numFmtId="178" fontId="46" fillId="6" borderId="35" xfId="30" applyNumberFormat="1" applyFont="1" applyFill="1" applyBorder="1" applyAlignment="1">
      <alignment horizontal="center" vertical="center"/>
    </xf>
    <xf numFmtId="178" fontId="46" fillId="6" borderId="22" xfId="30" applyNumberFormat="1" applyFont="1" applyFill="1" applyBorder="1" applyAlignment="1">
      <alignment horizontal="center" vertical="center"/>
    </xf>
    <xf numFmtId="178" fontId="46" fillId="6" borderId="36" xfId="30" applyNumberFormat="1" applyFont="1" applyFill="1" applyBorder="1" applyAlignment="1">
      <alignment horizontal="center" vertical="center"/>
    </xf>
    <xf numFmtId="174" fontId="46" fillId="13" borderId="23" xfId="56" applyNumberFormat="1" applyFont="1" applyFill="1" applyBorder="1" applyAlignment="1">
      <alignment horizontal="center" vertical="center"/>
    </xf>
    <xf numFmtId="174" fontId="46" fillId="13" borderId="24" xfId="56" applyNumberFormat="1" applyFont="1" applyFill="1" applyBorder="1" applyAlignment="1">
      <alignment horizontal="center" vertical="center"/>
    </xf>
    <xf numFmtId="174" fontId="46" fillId="13" borderId="25" xfId="56" applyNumberFormat="1" applyFont="1" applyFill="1" applyBorder="1" applyAlignment="1">
      <alignment horizontal="center" vertical="center"/>
    </xf>
    <xf numFmtId="167" fontId="46" fillId="14" borderId="16" xfId="56" applyNumberFormat="1" applyFont="1" applyFill="1" applyBorder="1" applyAlignment="1">
      <alignment horizontal="center" vertical="center"/>
    </xf>
    <xf numFmtId="174" fontId="46" fillId="13" borderId="16" xfId="56" applyNumberFormat="1" applyFont="1" applyFill="1" applyBorder="1" applyAlignment="1">
      <alignment horizontal="center" vertical="center"/>
    </xf>
    <xf numFmtId="174" fontId="46" fillId="13" borderId="11" xfId="56" applyNumberFormat="1" applyFont="1" applyFill="1" applyBorder="1" applyAlignment="1">
      <alignment horizontal="center" vertical="center"/>
    </xf>
    <xf numFmtId="174" fontId="46" fillId="13" borderId="27" xfId="56" applyNumberFormat="1" applyFont="1" applyFill="1" applyBorder="1" applyAlignment="1">
      <alignment horizontal="center" vertical="center"/>
    </xf>
    <xf numFmtId="174" fontId="46" fillId="13" borderId="22" xfId="56" applyNumberFormat="1" applyFont="1" applyFill="1" applyBorder="1" applyAlignment="1">
      <alignment horizontal="center" vertical="center"/>
    </xf>
    <xf numFmtId="167" fontId="46" fillId="14" borderId="15" xfId="56" applyNumberFormat="1" applyFont="1" applyFill="1" applyBorder="1" applyAlignment="1">
      <alignment horizontal="center" vertical="center"/>
    </xf>
    <xf numFmtId="167" fontId="46" fillId="14" borderId="32" xfId="56" applyNumberFormat="1" applyFont="1" applyFill="1" applyBorder="1" applyAlignment="1">
      <alignment horizontal="center" vertical="center"/>
    </xf>
    <xf numFmtId="164" fontId="46" fillId="7" borderId="1" xfId="54" applyFont="1" applyFill="1" applyBorder="1" applyAlignment="1">
      <alignment vertical="center"/>
    </xf>
    <xf numFmtId="0" fontId="50" fillId="0" borderId="12" xfId="18" applyFont="1" applyBorder="1" applyAlignment="1">
      <alignment horizontal="center"/>
    </xf>
    <xf numFmtId="0" fontId="46" fillId="0" borderId="4" xfId="18" applyFont="1" applyBorder="1"/>
    <xf numFmtId="0" fontId="80" fillId="0" borderId="0" xfId="18" applyFont="1"/>
    <xf numFmtId="0" fontId="57" fillId="0" borderId="0" xfId="18" applyFont="1" applyAlignment="1">
      <alignment vertical="center"/>
    </xf>
    <xf numFmtId="0" fontId="46" fillId="0" borderId="6" xfId="18" applyFont="1" applyBorder="1"/>
    <xf numFmtId="0" fontId="46" fillId="0" borderId="8" xfId="18" applyFont="1" applyBorder="1"/>
    <xf numFmtId="0" fontId="46" fillId="0" borderId="9" xfId="18" applyFont="1" applyBorder="1"/>
    <xf numFmtId="164" fontId="46" fillId="15" borderId="1" xfId="54" applyFont="1" applyFill="1" applyBorder="1" applyAlignment="1">
      <alignment vertical="center"/>
    </xf>
    <xf numFmtId="165" fontId="52" fillId="0" borderId="0" xfId="2" applyFont="1"/>
    <xf numFmtId="175" fontId="56" fillId="4" borderId="1" xfId="30" applyNumberFormat="1" applyFont="1" applyFill="1" applyBorder="1" applyAlignment="1">
      <alignment horizontal="center"/>
    </xf>
    <xf numFmtId="0" fontId="2" fillId="0" borderId="0" xfId="0" applyFont="1"/>
    <xf numFmtId="0" fontId="4" fillId="10" borderId="0" xfId="0" applyFont="1" applyFill="1" applyAlignment="1">
      <alignment horizontal="left"/>
    </xf>
    <xf numFmtId="0" fontId="62" fillId="0" borderId="0" xfId="18" applyFont="1"/>
    <xf numFmtId="10" fontId="47" fillId="0" borderId="0" xfId="30" applyNumberFormat="1" applyFont="1" applyFill="1" applyBorder="1" applyAlignment="1">
      <alignment horizontal="center" vertical="center"/>
    </xf>
    <xf numFmtId="0" fontId="52" fillId="0" borderId="3" xfId="18" applyFont="1" applyBorder="1" applyAlignment="1">
      <alignment horizontal="center" vertical="center"/>
    </xf>
    <xf numFmtId="0" fontId="52" fillId="0" borderId="5" xfId="18" applyFont="1" applyBorder="1" applyAlignment="1">
      <alignment horizontal="center" vertical="center"/>
    </xf>
    <xf numFmtId="0" fontId="52" fillId="0" borderId="7" xfId="18" applyFont="1" applyBorder="1" applyAlignment="1">
      <alignment horizontal="center" vertical="center"/>
    </xf>
    <xf numFmtId="0" fontId="74" fillId="0" borderId="0" xfId="18" applyFont="1" applyAlignment="1">
      <alignment horizontal="center"/>
    </xf>
    <xf numFmtId="9" fontId="74" fillId="0" borderId="0" xfId="18" applyNumberFormat="1" applyFont="1" applyAlignment="1">
      <alignment horizontal="center"/>
    </xf>
    <xf numFmtId="176" fontId="74" fillId="0" borderId="0" xfId="18" applyNumberFormat="1" applyFont="1"/>
    <xf numFmtId="10" fontId="74" fillId="0" borderId="0" xfId="30" applyNumberFormat="1" applyFont="1" applyFill="1" applyBorder="1" applyAlignment="1">
      <alignment horizontal="center"/>
    </xf>
    <xf numFmtId="9" fontId="74" fillId="0" borderId="0" xfId="18" applyNumberFormat="1" applyFont="1" applyAlignment="1">
      <alignment vertical="center" wrapText="1"/>
    </xf>
    <xf numFmtId="176" fontId="74" fillId="0" borderId="0" xfId="18" applyNumberFormat="1" applyFont="1" applyAlignment="1">
      <alignment horizontal="center"/>
    </xf>
    <xf numFmtId="178" fontId="46" fillId="6" borderId="37" xfId="30" applyNumberFormat="1" applyFont="1" applyFill="1" applyBorder="1" applyAlignment="1">
      <alignment horizontal="center" vertical="center"/>
    </xf>
    <xf numFmtId="0" fontId="76" fillId="0" borderId="11" xfId="18" applyFont="1" applyBorder="1" applyAlignment="1">
      <alignment horizontal="center" vertical="center" wrapText="1"/>
    </xf>
    <xf numFmtId="4" fontId="51" fillId="10" borderId="0" xfId="0" applyNumberFormat="1" applyFont="1" applyFill="1" applyAlignment="1">
      <alignment horizontal="center" vertical="center"/>
    </xf>
    <xf numFmtId="180" fontId="51" fillId="10" borderId="1" xfId="18" applyNumberFormat="1" applyFont="1" applyFill="1" applyBorder="1" applyAlignment="1">
      <alignment horizontal="center" vertical="center"/>
    </xf>
    <xf numFmtId="0" fontId="51" fillId="0" borderId="0" xfId="0" applyFont="1" applyAlignment="1">
      <alignment horizontal="center" vertical="center"/>
    </xf>
    <xf numFmtId="0" fontId="81" fillId="10" borderId="1" xfId="0" applyFont="1" applyFill="1" applyBorder="1" applyAlignment="1">
      <alignment horizontal="center" vertical="center"/>
    </xf>
    <xf numFmtId="4" fontId="81" fillId="10" borderId="1" xfId="0" applyNumberFormat="1" applyFont="1" applyFill="1" applyBorder="1" applyAlignment="1">
      <alignment horizontal="center" vertical="center"/>
    </xf>
    <xf numFmtId="0" fontId="81" fillId="10" borderId="11" xfId="0" applyFont="1" applyFill="1" applyBorder="1" applyAlignment="1">
      <alignment horizontal="center" vertical="center"/>
    </xf>
    <xf numFmtId="0" fontId="82" fillId="0" borderId="1" xfId="0" applyFont="1" applyBorder="1" applyAlignment="1">
      <alignment horizontal="center"/>
    </xf>
    <xf numFmtId="176" fontId="51" fillId="10" borderId="1" xfId="0" applyNumberFormat="1" applyFont="1" applyFill="1" applyBorder="1" applyAlignment="1">
      <alignment horizontal="center" vertical="center"/>
    </xf>
    <xf numFmtId="10" fontId="51" fillId="10" borderId="1" xfId="32" applyNumberFormat="1" applyFont="1" applyFill="1" applyBorder="1" applyAlignment="1">
      <alignment horizontal="center" vertical="center"/>
    </xf>
    <xf numFmtId="0" fontId="83" fillId="0" borderId="1" xfId="0" applyFont="1" applyBorder="1" applyAlignment="1">
      <alignment horizontal="center"/>
    </xf>
    <xf numFmtId="0" fontId="84" fillId="0" borderId="0" xfId="0" applyFont="1" applyAlignment="1">
      <alignment horizontal="center"/>
    </xf>
    <xf numFmtId="0" fontId="74" fillId="0" borderId="0" xfId="18" applyFont="1" applyAlignment="1">
      <alignment vertical="center"/>
    </xf>
    <xf numFmtId="0" fontId="74" fillId="0" borderId="0" xfId="18" applyFont="1" applyAlignment="1">
      <alignment horizontal="center" vertical="center"/>
    </xf>
    <xf numFmtId="186" fontId="50" fillId="3" borderId="1" xfId="56" applyNumberFormat="1" applyFont="1" applyFill="1" applyBorder="1" applyAlignment="1">
      <alignment horizontal="center" vertical="center"/>
    </xf>
    <xf numFmtId="1" fontId="2" fillId="0" borderId="1" xfId="18" applyNumberFormat="1" applyBorder="1" applyAlignment="1">
      <alignment horizontal="center"/>
    </xf>
    <xf numFmtId="165" fontId="46" fillId="2" borderId="1" xfId="2" applyFont="1" applyFill="1" applyBorder="1" applyAlignment="1">
      <alignment horizontal="center" vertical="center"/>
    </xf>
    <xf numFmtId="0" fontId="51" fillId="10" borderId="1" xfId="16" applyFont="1" applyFill="1" applyBorder="1" applyAlignment="1">
      <alignment horizontal="center" vertical="center"/>
    </xf>
    <xf numFmtId="0" fontId="51" fillId="10" borderId="1" xfId="16" applyFont="1" applyFill="1" applyBorder="1" applyAlignment="1">
      <alignment horizontal="center" wrapText="1"/>
    </xf>
    <xf numFmtId="0" fontId="51" fillId="10" borderId="1" xfId="16" applyFont="1" applyFill="1" applyBorder="1" applyAlignment="1">
      <alignment horizontal="center" vertical="center" wrapText="1"/>
    </xf>
    <xf numFmtId="0" fontId="85" fillId="10" borderId="11" xfId="16" applyFont="1" applyFill="1" applyBorder="1" applyAlignment="1">
      <alignment horizontal="center" vertical="center"/>
    </xf>
    <xf numFmtId="177" fontId="52" fillId="3" borderId="25" xfId="0" applyNumberFormat="1" applyFont="1" applyFill="1" applyBorder="1" applyAlignment="1">
      <alignment horizontal="center"/>
    </xf>
    <xf numFmtId="179" fontId="46" fillId="8" borderId="19" xfId="56" applyNumberFormat="1" applyFont="1" applyFill="1" applyBorder="1" applyAlignment="1">
      <alignment horizontal="center" vertical="center"/>
    </xf>
    <xf numFmtId="177" fontId="52" fillId="3" borderId="24" xfId="0" applyNumberFormat="1" applyFont="1" applyFill="1" applyBorder="1" applyAlignment="1">
      <alignment horizontal="center"/>
    </xf>
    <xf numFmtId="177" fontId="52" fillId="3" borderId="23" xfId="0" applyNumberFormat="1" applyFont="1" applyFill="1" applyBorder="1" applyAlignment="1">
      <alignment horizontal="center"/>
    </xf>
    <xf numFmtId="179" fontId="46" fillId="8" borderId="18" xfId="56" applyNumberFormat="1" applyFont="1" applyFill="1" applyBorder="1" applyAlignment="1">
      <alignment horizontal="center" vertical="center"/>
    </xf>
    <xf numFmtId="0" fontId="83" fillId="0" borderId="1" xfId="0" applyFont="1" applyBorder="1" applyAlignment="1">
      <alignment horizontal="center" vertical="center"/>
    </xf>
    <xf numFmtId="177" fontId="52" fillId="3" borderId="38" xfId="0" applyNumberFormat="1" applyFont="1" applyFill="1" applyBorder="1" applyAlignment="1">
      <alignment horizontal="center"/>
    </xf>
    <xf numFmtId="177" fontId="52" fillId="3" borderId="27" xfId="0" applyNumberFormat="1" applyFont="1" applyFill="1" applyBorder="1" applyAlignment="1">
      <alignment horizontal="center"/>
    </xf>
    <xf numFmtId="169" fontId="46" fillId="2" borderId="1" xfId="56" applyNumberFormat="1" applyFont="1" applyFill="1" applyBorder="1" applyAlignment="1">
      <alignment horizontal="center" vertical="center"/>
    </xf>
    <xf numFmtId="179" fontId="46" fillId="8" borderId="1" xfId="56" applyNumberFormat="1" applyFont="1" applyFill="1" applyBorder="1" applyAlignment="1">
      <alignment horizontal="center" vertical="center"/>
    </xf>
    <xf numFmtId="0" fontId="86" fillId="0" borderId="0" xfId="18" applyFont="1" applyAlignment="1">
      <alignment horizontal="center" vertical="center" wrapText="1"/>
    </xf>
    <xf numFmtId="0" fontId="86" fillId="0" borderId="0" xfId="18" applyFont="1" applyAlignment="1">
      <alignment horizontal="center" vertical="center"/>
    </xf>
    <xf numFmtId="0" fontId="53" fillId="21" borderId="2" xfId="0" applyFont="1" applyFill="1" applyBorder="1"/>
    <xf numFmtId="0" fontId="53" fillId="21" borderId="2" xfId="0" applyFont="1" applyFill="1" applyBorder="1" applyAlignment="1">
      <alignment wrapText="1"/>
    </xf>
    <xf numFmtId="0" fontId="74" fillId="0" borderId="0" xfId="0" applyFont="1"/>
    <xf numFmtId="10" fontId="2" fillId="0" borderId="1" xfId="18" applyNumberFormat="1" applyBorder="1" applyAlignment="1">
      <alignment horizontal="center"/>
    </xf>
    <xf numFmtId="9" fontId="80" fillId="0" borderId="0" xfId="18" applyNumberFormat="1" applyFont="1" applyAlignment="1">
      <alignment vertical="center" wrapText="1"/>
    </xf>
    <xf numFmtId="176" fontId="80" fillId="0" borderId="0" xfId="36" applyNumberFormat="1" applyFont="1" applyFill="1" applyBorder="1" applyAlignment="1">
      <alignment horizontal="center"/>
    </xf>
    <xf numFmtId="176" fontId="80" fillId="0" borderId="0" xfId="18" applyNumberFormat="1" applyFont="1" applyAlignment="1">
      <alignment horizontal="center"/>
    </xf>
    <xf numFmtId="185" fontId="50" fillId="3" borderId="1" xfId="56" applyNumberFormat="1" applyFont="1" applyFill="1" applyBorder="1" applyAlignment="1">
      <alignment horizontal="center" vertical="center"/>
    </xf>
    <xf numFmtId="0" fontId="66" fillId="10" borderId="0" xfId="0" applyFont="1" applyFill="1"/>
    <xf numFmtId="0" fontId="67" fillId="10" borderId="0" xfId="0" applyFont="1" applyFill="1"/>
    <xf numFmtId="0" fontId="67" fillId="21" borderId="1" xfId="0" applyFont="1" applyFill="1" applyBorder="1"/>
    <xf numFmtId="0" fontId="67" fillId="4" borderId="1" xfId="0" applyFont="1" applyFill="1" applyBorder="1"/>
    <xf numFmtId="0" fontId="67" fillId="8" borderId="1" xfId="0" applyFont="1" applyFill="1" applyBorder="1"/>
    <xf numFmtId="0" fontId="69" fillId="10" borderId="0" xfId="0" applyFont="1" applyFill="1"/>
    <xf numFmtId="0" fontId="87" fillId="10" borderId="0" xfId="0" applyFont="1" applyFill="1"/>
    <xf numFmtId="0" fontId="88" fillId="12" borderId="9" xfId="0" applyFont="1" applyFill="1" applyBorder="1" applyAlignment="1">
      <alignment horizontal="center" vertical="center" wrapText="1"/>
    </xf>
    <xf numFmtId="0" fontId="84" fillId="0" borderId="0" xfId="0" applyFont="1"/>
    <xf numFmtId="0" fontId="72" fillId="12" borderId="39" xfId="0" applyFont="1" applyFill="1" applyBorder="1" applyAlignment="1">
      <alignment horizontal="center" vertical="center" wrapText="1"/>
    </xf>
    <xf numFmtId="0" fontId="72" fillId="12" borderId="9" xfId="0" applyFont="1" applyFill="1" applyBorder="1" applyAlignment="1">
      <alignment horizontal="center" vertical="center" wrapText="1"/>
    </xf>
    <xf numFmtId="0" fontId="89" fillId="12" borderId="39" xfId="0" applyFont="1" applyFill="1" applyBorder="1" applyAlignment="1">
      <alignment vertical="top" wrapText="1"/>
    </xf>
    <xf numFmtId="0" fontId="89" fillId="12" borderId="40" xfId="0" applyFont="1" applyFill="1" applyBorder="1" applyAlignment="1">
      <alignment vertical="top" wrapText="1"/>
    </xf>
    <xf numFmtId="0" fontId="66" fillId="15" borderId="9" xfId="0" applyFont="1" applyFill="1" applyBorder="1" applyAlignment="1">
      <alignment horizontal="center" vertical="center" wrapText="1"/>
    </xf>
    <xf numFmtId="10" fontId="90" fillId="3" borderId="1" xfId="30" applyNumberFormat="1" applyFont="1" applyFill="1" applyBorder="1" applyAlignment="1">
      <alignment horizontal="left" vertical="center"/>
    </xf>
    <xf numFmtId="0" fontId="91" fillId="11" borderId="13" xfId="0" applyFont="1" applyFill="1" applyBorder="1" applyAlignment="1">
      <alignment horizontal="center" vertical="center" wrapText="1"/>
    </xf>
    <xf numFmtId="0" fontId="92" fillId="11" borderId="13" xfId="0" applyFont="1" applyFill="1" applyBorder="1" applyAlignment="1">
      <alignment horizontal="center" vertical="center" wrapText="1"/>
    </xf>
    <xf numFmtId="0" fontId="91" fillId="12" borderId="13" xfId="0" applyFont="1" applyFill="1" applyBorder="1" applyAlignment="1">
      <alignment horizontal="center" vertical="center" wrapText="1"/>
    </xf>
    <xf numFmtId="0" fontId="92" fillId="12" borderId="13" xfId="0" applyFont="1" applyFill="1" applyBorder="1" applyAlignment="1">
      <alignment horizontal="center" vertical="center" wrapText="1"/>
    </xf>
    <xf numFmtId="0" fontId="51" fillId="10" borderId="0" xfId="0" applyFont="1" applyFill="1"/>
    <xf numFmtId="0" fontId="51" fillId="0" borderId="1" xfId="0" applyFont="1" applyBorder="1" applyAlignment="1">
      <alignment horizontal="center"/>
    </xf>
    <xf numFmtId="0" fontId="85" fillId="22" borderId="15" xfId="0" applyFont="1" applyFill="1" applyBorder="1"/>
    <xf numFmtId="0" fontId="51" fillId="22" borderId="41" xfId="0" applyFont="1" applyFill="1" applyBorder="1"/>
    <xf numFmtId="165" fontId="51" fillId="22" borderId="0" xfId="2" applyFont="1" applyFill="1" applyBorder="1"/>
    <xf numFmtId="165" fontId="51" fillId="22" borderId="42" xfId="2" applyFont="1" applyFill="1" applyBorder="1"/>
    <xf numFmtId="165" fontId="51" fillId="22" borderId="1" xfId="2" applyFont="1" applyFill="1" applyBorder="1"/>
    <xf numFmtId="0" fontId="85" fillId="23" borderId="15" xfId="0" applyFont="1" applyFill="1" applyBorder="1"/>
    <xf numFmtId="0" fontId="51" fillId="23" borderId="41" xfId="0" applyFont="1" applyFill="1" applyBorder="1"/>
    <xf numFmtId="0" fontId="85" fillId="23" borderId="10" xfId="0" applyFont="1" applyFill="1" applyBorder="1"/>
    <xf numFmtId="0" fontId="51" fillId="23" borderId="0" xfId="0" applyFont="1" applyFill="1"/>
    <xf numFmtId="165" fontId="51" fillId="23" borderId="0" xfId="2" applyFont="1" applyFill="1" applyBorder="1"/>
    <xf numFmtId="165" fontId="85" fillId="23" borderId="0" xfId="2" applyFont="1" applyFill="1" applyBorder="1" applyAlignment="1">
      <alignment horizontal="right"/>
    </xf>
    <xf numFmtId="0" fontId="51" fillId="23" borderId="0" xfId="2" applyNumberFormat="1" applyFont="1" applyFill="1" applyBorder="1"/>
    <xf numFmtId="165" fontId="85" fillId="23" borderId="0" xfId="2" applyFont="1" applyFill="1" applyBorder="1" applyAlignment="1">
      <alignment horizontal="center"/>
    </xf>
    <xf numFmtId="0" fontId="51" fillId="23" borderId="10" xfId="0" applyFont="1" applyFill="1" applyBorder="1" applyAlignment="1">
      <alignment horizontal="left"/>
    </xf>
    <xf numFmtId="0" fontId="51" fillId="23" borderId="0" xfId="0" applyFont="1" applyFill="1" applyAlignment="1">
      <alignment horizontal="left"/>
    </xf>
    <xf numFmtId="165" fontId="85" fillId="23" borderId="0" xfId="2" applyFont="1" applyFill="1" applyBorder="1"/>
    <xf numFmtId="0" fontId="85" fillId="23" borderId="10" xfId="0" applyFont="1" applyFill="1" applyBorder="1" applyAlignment="1">
      <alignment horizontal="left"/>
    </xf>
    <xf numFmtId="0" fontId="85" fillId="23" borderId="0" xfId="0" applyFont="1" applyFill="1" applyAlignment="1">
      <alignment horizontal="right"/>
    </xf>
    <xf numFmtId="165" fontId="85" fillId="23" borderId="0" xfId="3" applyFont="1" applyFill="1" applyBorder="1" applyAlignment="1">
      <alignment horizontal="center"/>
    </xf>
    <xf numFmtId="165" fontId="51" fillId="23" borderId="0" xfId="2" applyFont="1" applyFill="1" applyBorder="1" applyAlignment="1">
      <alignment horizontal="center"/>
    </xf>
    <xf numFmtId="165" fontId="85" fillId="23" borderId="42" xfId="2" applyFont="1" applyFill="1" applyBorder="1" applyAlignment="1">
      <alignment horizontal="center"/>
    </xf>
    <xf numFmtId="165" fontId="51" fillId="0" borderId="1" xfId="2" applyFont="1" applyBorder="1"/>
    <xf numFmtId="0" fontId="51" fillId="10" borderId="0" xfId="0" applyFont="1" applyFill="1" applyAlignment="1">
      <alignment horizontal="right"/>
    </xf>
    <xf numFmtId="165" fontId="51" fillId="24" borderId="1" xfId="2" applyFont="1" applyFill="1" applyBorder="1" applyAlignment="1">
      <alignment horizontal="center"/>
    </xf>
    <xf numFmtId="165" fontId="89" fillId="25" borderId="1" xfId="2" applyFont="1" applyFill="1" applyBorder="1"/>
    <xf numFmtId="3" fontId="64" fillId="11" borderId="13" xfId="0" applyNumberFormat="1" applyFont="1" applyFill="1" applyBorder="1"/>
    <xf numFmtId="0" fontId="74" fillId="10" borderId="0" xfId="0" applyFont="1" applyFill="1"/>
    <xf numFmtId="175" fontId="74" fillId="10" borderId="0" xfId="30" applyNumberFormat="1" applyFont="1" applyFill="1"/>
    <xf numFmtId="37" fontId="46" fillId="2" borderId="1" xfId="56" applyNumberFormat="1" applyFont="1" applyFill="1" applyBorder="1" applyAlignment="1" applyProtection="1">
      <alignment horizontal="center" vertical="center"/>
      <protection locked="0" hidden="1"/>
    </xf>
    <xf numFmtId="0" fontId="51" fillId="0" borderId="2" xfId="0" applyFont="1" applyBorder="1" applyAlignment="1">
      <alignment horizontal="center"/>
    </xf>
    <xf numFmtId="10" fontId="51" fillId="22" borderId="0" xfId="30" applyNumberFormat="1" applyFont="1" applyFill="1" applyBorder="1"/>
    <xf numFmtId="10" fontId="51" fillId="22" borderId="42" xfId="30" applyNumberFormat="1" applyFont="1" applyFill="1" applyBorder="1"/>
    <xf numFmtId="9" fontId="51" fillId="22" borderId="2" xfId="30" applyFont="1" applyFill="1" applyBorder="1"/>
    <xf numFmtId="10" fontId="51" fillId="23" borderId="0" xfId="30" applyNumberFormat="1" applyFont="1" applyFill="1" applyBorder="1"/>
    <xf numFmtId="10" fontId="85" fillId="23" borderId="0" xfId="30" applyNumberFormat="1" applyFont="1" applyFill="1" applyBorder="1" applyAlignment="1">
      <alignment horizontal="right"/>
    </xf>
    <xf numFmtId="10" fontId="85" fillId="23" borderId="0" xfId="30" applyNumberFormat="1" applyFont="1" applyFill="1" applyBorder="1" applyAlignment="1">
      <alignment horizontal="center"/>
    </xf>
    <xf numFmtId="10" fontId="85" fillId="23" borderId="0" xfId="30" applyNumberFormat="1" applyFont="1" applyFill="1" applyBorder="1"/>
    <xf numFmtId="10" fontId="51" fillId="23" borderId="0" xfId="30" applyNumberFormat="1" applyFont="1" applyFill="1" applyBorder="1" applyAlignment="1">
      <alignment horizontal="right"/>
    </xf>
    <xf numFmtId="10" fontId="85" fillId="23" borderId="42" xfId="30" applyNumberFormat="1" applyFont="1" applyFill="1" applyBorder="1" applyAlignment="1">
      <alignment horizontal="right"/>
    </xf>
    <xf numFmtId="9" fontId="51" fillId="0" borderId="2" xfId="30" applyFont="1" applyBorder="1"/>
    <xf numFmtId="175" fontId="74" fillId="10" borderId="17" xfId="30" applyNumberFormat="1" applyFont="1" applyFill="1" applyBorder="1"/>
    <xf numFmtId="175" fontId="74" fillId="25" borderId="17" xfId="30" applyNumberFormat="1" applyFont="1" applyFill="1" applyBorder="1"/>
    <xf numFmtId="166" fontId="46" fillId="7" borderId="1" xfId="56" applyNumberFormat="1" applyFont="1" applyFill="1" applyBorder="1" applyAlignment="1">
      <alignment vertical="center"/>
    </xf>
    <xf numFmtId="44" fontId="51" fillId="0" borderId="1" xfId="2" applyNumberFormat="1" applyFont="1" applyBorder="1"/>
    <xf numFmtId="37" fontId="46" fillId="2" borderId="1" xfId="56" applyNumberFormat="1" applyFont="1" applyFill="1" applyBorder="1" applyAlignment="1" applyProtection="1">
      <alignment horizontal="center" vertical="center"/>
      <protection locked="0"/>
    </xf>
    <xf numFmtId="167" fontId="50" fillId="7" borderId="1" xfId="56" applyNumberFormat="1" applyFont="1" applyFill="1" applyBorder="1" applyAlignment="1">
      <alignment horizontal="center" vertical="center"/>
    </xf>
    <xf numFmtId="167" fontId="50" fillId="2" borderId="1" xfId="56" applyNumberFormat="1" applyFont="1" applyFill="1" applyBorder="1" applyAlignment="1" applyProtection="1">
      <alignment horizontal="center" vertical="center"/>
      <protection locked="0"/>
    </xf>
    <xf numFmtId="166" fontId="46" fillId="2" borderId="1" xfId="16" applyNumberFormat="1" applyFill="1" applyBorder="1" applyAlignment="1">
      <alignment horizontal="left" vertical="center"/>
    </xf>
    <xf numFmtId="0" fontId="49" fillId="0" borderId="0" xfId="1" applyFill="1"/>
    <xf numFmtId="0" fontId="49" fillId="0" borderId="0" xfId="1"/>
    <xf numFmtId="43" fontId="46" fillId="7" borderId="1" xfId="56" applyFont="1" applyFill="1" applyBorder="1" applyProtection="1">
      <protection locked="0"/>
    </xf>
    <xf numFmtId="173" fontId="46" fillId="15" borderId="1" xfId="56" applyNumberFormat="1" applyFont="1" applyFill="1" applyBorder="1" applyAlignment="1" applyProtection="1">
      <alignment vertical="center"/>
      <protection locked="0"/>
    </xf>
    <xf numFmtId="43" fontId="46" fillId="15" borderId="1" xfId="56" applyFont="1" applyFill="1" applyBorder="1" applyProtection="1">
      <protection locked="0"/>
    </xf>
    <xf numFmtId="172" fontId="46" fillId="15" borderId="1" xfId="56" applyNumberFormat="1" applyFont="1" applyFill="1" applyBorder="1" applyProtection="1">
      <protection locked="0"/>
    </xf>
    <xf numFmtId="164" fontId="46" fillId="7" borderId="1" xfId="55" applyFont="1" applyFill="1" applyBorder="1" applyProtection="1">
      <protection locked="0"/>
    </xf>
    <xf numFmtId="0" fontId="49" fillId="0" borderId="0" xfId="1" applyAlignment="1">
      <alignment horizontal="left" vertical="center"/>
    </xf>
    <xf numFmtId="0" fontId="49" fillId="10" borderId="43" xfId="1" applyFill="1" applyBorder="1" applyAlignment="1">
      <alignment horizontal="left" vertical="center"/>
    </xf>
    <xf numFmtId="165" fontId="2" fillId="2" borderId="1" xfId="3" applyFont="1" applyFill="1" applyBorder="1" applyProtection="1">
      <protection locked="0"/>
    </xf>
    <xf numFmtId="165" fontId="2" fillId="10" borderId="0" xfId="3" applyFont="1" applyFill="1" applyProtection="1">
      <protection locked="0"/>
    </xf>
    <xf numFmtId="3" fontId="52" fillId="0" borderId="0" xfId="0" applyNumberFormat="1" applyFont="1"/>
    <xf numFmtId="10" fontId="64" fillId="11" borderId="13" xfId="30" applyNumberFormat="1" applyFont="1" applyFill="1" applyBorder="1"/>
    <xf numFmtId="0" fontId="56" fillId="0" borderId="10" xfId="0" applyFont="1" applyBorder="1"/>
    <xf numFmtId="164" fontId="46" fillId="15" borderId="1" xfId="55" applyFont="1" applyFill="1" applyBorder="1" applyAlignment="1" applyProtection="1">
      <alignment vertical="center"/>
      <protection locked="0"/>
    </xf>
    <xf numFmtId="0" fontId="48" fillId="9" borderId="2" xfId="16" applyFont="1" applyFill="1" applyBorder="1" applyAlignment="1">
      <alignment vertical="center"/>
    </xf>
    <xf numFmtId="0" fontId="48" fillId="9" borderId="13" xfId="16" applyFont="1" applyFill="1" applyBorder="1" applyAlignment="1">
      <alignment vertical="center"/>
    </xf>
    <xf numFmtId="0" fontId="58" fillId="0" borderId="1" xfId="0" applyFont="1" applyBorder="1"/>
    <xf numFmtId="0" fontId="93" fillId="12" borderId="2" xfId="0" applyFont="1" applyFill="1" applyBorder="1" applyAlignment="1">
      <alignment vertical="center" wrapText="1"/>
    </xf>
    <xf numFmtId="0" fontId="93" fillId="12" borderId="14" xfId="0" applyFont="1" applyFill="1" applyBorder="1" applyAlignment="1">
      <alignment vertical="center" wrapText="1"/>
    </xf>
    <xf numFmtId="0" fontId="93" fillId="12" borderId="13" xfId="0" applyFont="1" applyFill="1" applyBorder="1" applyAlignment="1">
      <alignment vertical="center" wrapText="1"/>
    </xf>
    <xf numFmtId="0" fontId="37" fillId="12" borderId="16" xfId="18" applyFont="1" applyFill="1" applyBorder="1" applyAlignment="1">
      <alignment vertical="center" wrapText="1"/>
    </xf>
    <xf numFmtId="0" fontId="37" fillId="12" borderId="11" xfId="18" applyFont="1" applyFill="1" applyBorder="1" applyAlignment="1">
      <alignment vertical="center" wrapText="1"/>
    </xf>
    <xf numFmtId="0" fontId="58" fillId="0" borderId="2" xfId="0" applyFont="1" applyBorder="1"/>
    <xf numFmtId="0" fontId="58" fillId="0" borderId="14" xfId="0" applyFont="1" applyBorder="1"/>
    <xf numFmtId="0" fontId="58" fillId="0" borderId="13" xfId="0" applyFont="1" applyBorder="1"/>
    <xf numFmtId="172" fontId="46" fillId="15" borderId="1" xfId="56" applyNumberFormat="1" applyFont="1" applyFill="1" applyBorder="1" applyAlignment="1" applyProtection="1">
      <alignment vertical="center"/>
      <protection locked="0"/>
    </xf>
    <xf numFmtId="178" fontId="66" fillId="15" borderId="1" xfId="0" applyNumberFormat="1" applyFont="1" applyFill="1" applyBorder="1" applyAlignment="1">
      <alignment horizontal="center" vertical="center" wrapText="1"/>
    </xf>
    <xf numFmtId="44" fontId="0" fillId="10" borderId="0" xfId="0" applyNumberFormat="1" applyFill="1"/>
    <xf numFmtId="0" fontId="2" fillId="2" borderId="1" xfId="0" applyFont="1" applyFill="1" applyBorder="1" applyAlignment="1" applyProtection="1">
      <alignment horizontal="center" wrapText="1"/>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protection locked="0"/>
    </xf>
    <xf numFmtId="3" fontId="53" fillId="2" borderId="13" xfId="18" applyNumberFormat="1" applyFont="1" applyFill="1" applyBorder="1" applyAlignment="1">
      <alignment vertical="center" wrapText="1"/>
    </xf>
    <xf numFmtId="2" fontId="0" fillId="0" borderId="0" xfId="0" applyNumberFormat="1"/>
    <xf numFmtId="0" fontId="18" fillId="0" borderId="0" xfId="0" applyFont="1" applyAlignment="1">
      <alignment horizontal="center" vertical="center"/>
    </xf>
    <xf numFmtId="188" fontId="0" fillId="0" borderId="0" xfId="2" applyNumberFormat="1" applyFont="1" applyFill="1"/>
    <xf numFmtId="188" fontId="0" fillId="0" borderId="0" xfId="0" applyNumberFormat="1"/>
    <xf numFmtId="187" fontId="0" fillId="10" borderId="0" xfId="0" applyNumberFormat="1" applyFill="1"/>
    <xf numFmtId="4" fontId="53" fillId="2" borderId="2" xfId="18" applyNumberFormat="1" applyFont="1" applyFill="1" applyBorder="1" applyAlignment="1">
      <alignment vertical="center" wrapText="1"/>
    </xf>
    <xf numFmtId="178" fontId="46" fillId="7" borderId="1" xfId="30" applyNumberFormat="1" applyFont="1" applyFill="1" applyBorder="1" applyAlignment="1">
      <alignment vertical="center"/>
    </xf>
    <xf numFmtId="189" fontId="51" fillId="24" borderId="0" xfId="0" applyNumberFormat="1" applyFont="1" applyFill="1"/>
    <xf numFmtId="190" fontId="51" fillId="10" borderId="1" xfId="0" applyNumberFormat="1" applyFont="1" applyFill="1" applyBorder="1"/>
    <xf numFmtId="175" fontId="0" fillId="10" borderId="0" xfId="0" applyNumberFormat="1" applyFill="1"/>
    <xf numFmtId="191" fontId="46" fillId="7" borderId="1" xfId="30" applyNumberFormat="1" applyFont="1" applyFill="1" applyBorder="1" applyAlignment="1">
      <alignment vertical="center"/>
    </xf>
    <xf numFmtId="190" fontId="51" fillId="24" borderId="0" xfId="0" applyNumberFormat="1" applyFont="1" applyFill="1"/>
    <xf numFmtId="0" fontId="2" fillId="2" borderId="2" xfId="0" applyFont="1" applyFill="1" applyBorder="1" applyAlignment="1">
      <alignment horizontal="center"/>
    </xf>
    <xf numFmtId="0" fontId="2" fillId="2" borderId="1" xfId="0" applyFont="1" applyFill="1" applyBorder="1" applyAlignment="1">
      <alignment horizontal="center"/>
    </xf>
    <xf numFmtId="167" fontId="46" fillId="8" borderId="1" xfId="56" applyNumberFormat="1" applyFont="1" applyFill="1" applyBorder="1" applyAlignment="1">
      <alignment horizontal="center" vertical="center"/>
    </xf>
    <xf numFmtId="0" fontId="58" fillId="10" borderId="0" xfId="0" applyFont="1" applyFill="1" applyAlignment="1">
      <alignment horizontal="left"/>
    </xf>
    <xf numFmtId="0" fontId="56" fillId="0" borderId="0" xfId="0" applyFont="1" applyAlignment="1">
      <alignment horizontal="left"/>
    </xf>
    <xf numFmtId="0" fontId="56" fillId="8" borderId="29" xfId="0" applyFont="1" applyFill="1" applyBorder="1" applyAlignment="1">
      <alignment horizontal="center" vertical="center"/>
    </xf>
    <xf numFmtId="0" fontId="56" fillId="8" borderId="30" xfId="0" applyFont="1" applyFill="1" applyBorder="1" applyAlignment="1">
      <alignment horizontal="center" vertical="center"/>
    </xf>
    <xf numFmtId="0" fontId="56" fillId="8" borderId="31" xfId="0" applyFont="1" applyFill="1" applyBorder="1" applyAlignment="1">
      <alignment horizontal="center" vertical="center"/>
    </xf>
    <xf numFmtId="0" fontId="48" fillId="5" borderId="2" xfId="0" applyFont="1" applyFill="1" applyBorder="1" applyAlignment="1">
      <alignment horizontal="center"/>
    </xf>
    <xf numFmtId="0" fontId="48" fillId="5" borderId="14" xfId="0" applyFont="1" applyFill="1" applyBorder="1" applyAlignment="1">
      <alignment horizontal="center"/>
    </xf>
    <xf numFmtId="0" fontId="48" fillId="5" borderId="13" xfId="0" applyFont="1" applyFill="1" applyBorder="1" applyAlignment="1">
      <alignment horizontal="center"/>
    </xf>
    <xf numFmtId="0" fontId="48" fillId="5" borderId="1" xfId="0" applyFont="1" applyFill="1" applyBorder="1" applyAlignment="1">
      <alignment horizontal="center"/>
    </xf>
    <xf numFmtId="0" fontId="48" fillId="5" borderId="16" xfId="0" applyFont="1" applyFill="1" applyBorder="1" applyAlignment="1">
      <alignment horizontal="center" vertical="center" textRotation="90"/>
    </xf>
    <xf numFmtId="0" fontId="48" fillId="5" borderId="17" xfId="0" applyFont="1" applyFill="1" applyBorder="1" applyAlignment="1">
      <alignment horizontal="center" vertical="center" textRotation="90"/>
    </xf>
    <xf numFmtId="0" fontId="48" fillId="5" borderId="11" xfId="0" applyFont="1" applyFill="1" applyBorder="1" applyAlignment="1">
      <alignment horizontal="center" vertical="center" textRotation="90"/>
    </xf>
    <xf numFmtId="0" fontId="58" fillId="21" borderId="1" xfId="0" applyFont="1" applyFill="1" applyBorder="1" applyAlignment="1">
      <alignment horizontal="right" wrapText="1"/>
    </xf>
    <xf numFmtId="166" fontId="46" fillId="2" borderId="16" xfId="16" applyNumberFormat="1" applyFill="1" applyBorder="1" applyAlignment="1">
      <alignment horizontal="center" vertical="center"/>
    </xf>
    <xf numFmtId="166" fontId="46" fillId="2" borderId="11" xfId="16" applyNumberFormat="1" applyFill="1" applyBorder="1" applyAlignment="1">
      <alignment horizontal="center" vertical="center"/>
    </xf>
    <xf numFmtId="0" fontId="58" fillId="21" borderId="1" xfId="0" applyFont="1" applyFill="1" applyBorder="1" applyAlignment="1">
      <alignment horizontal="right"/>
    </xf>
    <xf numFmtId="0" fontId="48" fillId="9" borderId="1" xfId="0" applyFont="1" applyFill="1" applyBorder="1" applyAlignment="1">
      <alignment horizontal="center"/>
    </xf>
    <xf numFmtId="0" fontId="48" fillId="5" borderId="1" xfId="0" applyFont="1" applyFill="1" applyBorder="1" applyAlignment="1">
      <alignment horizontal="center" vertical="center" wrapText="1"/>
    </xf>
    <xf numFmtId="0" fontId="58" fillId="0" borderId="0" xfId="0" applyFont="1" applyAlignment="1">
      <alignment horizontal="left"/>
    </xf>
    <xf numFmtId="0" fontId="2" fillId="2" borderId="2"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54" fillId="9" borderId="32" xfId="0" applyFont="1" applyFill="1" applyBorder="1" applyAlignment="1">
      <alignment horizontal="center" vertical="center" wrapText="1"/>
    </xf>
    <xf numFmtId="0" fontId="54" fillId="9" borderId="42"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4" fillId="9" borderId="0" xfId="0" applyFont="1" applyFill="1" applyAlignment="1">
      <alignment horizontal="center" vertical="center" wrapText="1"/>
    </xf>
    <xf numFmtId="3" fontId="23" fillId="8" borderId="2" xfId="0" applyNumberFormat="1" applyFont="1" applyFill="1" applyBorder="1" applyAlignment="1">
      <alignment horizontal="center" vertical="center"/>
    </xf>
    <xf numFmtId="3" fontId="23" fillId="8" borderId="14" xfId="0" applyNumberFormat="1" applyFont="1" applyFill="1" applyBorder="1" applyAlignment="1">
      <alignment horizontal="center" vertical="center"/>
    </xf>
    <xf numFmtId="3" fontId="23" fillId="8" borderId="13" xfId="0" applyNumberFormat="1" applyFont="1" applyFill="1" applyBorder="1" applyAlignment="1">
      <alignment horizontal="center" vertical="center"/>
    </xf>
    <xf numFmtId="0" fontId="51" fillId="2" borderId="2" xfId="0" applyFont="1" applyFill="1" applyBorder="1" applyAlignment="1">
      <alignment horizontal="center"/>
    </xf>
    <xf numFmtId="0" fontId="51" fillId="2" borderId="13" xfId="0" applyFont="1" applyFill="1" applyBorder="1" applyAlignment="1">
      <alignment horizontal="center"/>
    </xf>
    <xf numFmtId="0" fontId="54" fillId="5" borderId="2" xfId="0" applyFont="1" applyFill="1" applyBorder="1" applyAlignment="1">
      <alignment horizontal="center" vertical="center" wrapText="1"/>
    </xf>
    <xf numFmtId="0" fontId="54" fillId="5" borderId="14"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53" fillId="21" borderId="1" xfId="0" applyFont="1" applyFill="1" applyBorder="1" applyAlignment="1">
      <alignment horizontal="right"/>
    </xf>
    <xf numFmtId="0" fontId="53" fillId="21" borderId="1" xfId="0" applyFont="1" applyFill="1" applyBorder="1" applyAlignment="1">
      <alignment horizontal="right" wrapText="1"/>
    </xf>
    <xf numFmtId="0" fontId="53" fillId="21" borderId="1" xfId="0" applyFont="1" applyFill="1" applyBorder="1" applyAlignment="1">
      <alignment horizontal="center"/>
    </xf>
    <xf numFmtId="0" fontId="54" fillId="5" borderId="1" xfId="0" applyFont="1" applyFill="1" applyBorder="1" applyAlignment="1">
      <alignment horizontal="center" vertical="center" wrapText="1"/>
    </xf>
    <xf numFmtId="0" fontId="53" fillId="21" borderId="2" xfId="0" applyFont="1" applyFill="1" applyBorder="1" applyAlignment="1">
      <alignment horizontal="left" vertical="center" wrapText="1"/>
    </xf>
    <xf numFmtId="0" fontId="53" fillId="21" borderId="13" xfId="0" applyFont="1" applyFill="1" applyBorder="1" applyAlignment="1">
      <alignment horizontal="left" vertical="center" wrapText="1"/>
    </xf>
    <xf numFmtId="0" fontId="57" fillId="21" borderId="1" xfId="16" applyFont="1" applyFill="1" applyBorder="1" applyAlignment="1">
      <alignment horizontal="center" vertical="center"/>
    </xf>
    <xf numFmtId="0" fontId="57" fillId="21" borderId="15" xfId="16" applyFont="1" applyFill="1" applyBorder="1" applyAlignment="1">
      <alignment horizontal="center" vertical="center"/>
    </xf>
    <xf numFmtId="0" fontId="57" fillId="21" borderId="41" xfId="16" applyFont="1" applyFill="1" applyBorder="1" applyAlignment="1">
      <alignment horizontal="center" vertical="center"/>
    </xf>
    <xf numFmtId="0" fontId="57" fillId="21" borderId="44" xfId="16" applyFont="1" applyFill="1" applyBorder="1" applyAlignment="1">
      <alignment horizontal="center" vertical="center"/>
    </xf>
    <xf numFmtId="0" fontId="57" fillId="21" borderId="10" xfId="16" applyFont="1" applyFill="1" applyBorder="1" applyAlignment="1">
      <alignment horizontal="center" vertical="center"/>
    </xf>
    <xf numFmtId="0" fontId="57" fillId="21" borderId="0" xfId="16" applyFont="1" applyFill="1" applyAlignment="1">
      <alignment horizontal="center" vertical="center"/>
    </xf>
    <xf numFmtId="0" fontId="57" fillId="21" borderId="28" xfId="16" applyFont="1" applyFill="1" applyBorder="1" applyAlignment="1">
      <alignment horizontal="center" vertical="center"/>
    </xf>
    <xf numFmtId="0" fontId="57" fillId="21" borderId="32" xfId="16" applyFont="1" applyFill="1" applyBorder="1" applyAlignment="1">
      <alignment horizontal="center" vertical="center"/>
    </xf>
    <xf numFmtId="0" fontId="57" fillId="21" borderId="42" xfId="16" applyFont="1" applyFill="1" applyBorder="1" applyAlignment="1">
      <alignment horizontal="center" vertical="center"/>
    </xf>
    <xf numFmtId="0" fontId="57" fillId="21" borderId="45" xfId="16" applyFont="1" applyFill="1" applyBorder="1" applyAlignment="1">
      <alignment horizontal="center" vertical="center"/>
    </xf>
    <xf numFmtId="0" fontId="48" fillId="5" borderId="15" xfId="16" applyFont="1" applyFill="1" applyBorder="1" applyAlignment="1">
      <alignment horizontal="center" vertical="center"/>
    </xf>
    <xf numFmtId="0" fontId="48" fillId="5" borderId="41" xfId="16" applyFont="1" applyFill="1" applyBorder="1" applyAlignment="1">
      <alignment horizontal="center" vertical="center"/>
    </xf>
    <xf numFmtId="0" fontId="48" fillId="5" borderId="32" xfId="16" applyFont="1" applyFill="1" applyBorder="1" applyAlignment="1">
      <alignment horizontal="center" vertical="center"/>
    </xf>
    <xf numFmtId="0" fontId="48" fillId="5" borderId="42" xfId="16" applyFont="1" applyFill="1" applyBorder="1" applyAlignment="1">
      <alignment horizontal="center" vertical="center"/>
    </xf>
    <xf numFmtId="0" fontId="48" fillId="5" borderId="1" xfId="16" applyFont="1" applyFill="1" applyBorder="1" applyAlignment="1">
      <alignment horizontal="center" vertical="center"/>
    </xf>
    <xf numFmtId="0" fontId="57" fillId="21" borderId="2" xfId="16" applyFont="1" applyFill="1" applyBorder="1" applyAlignment="1">
      <alignment horizontal="left"/>
    </xf>
    <xf numFmtId="0" fontId="57" fillId="21" borderId="14" xfId="16" applyFont="1" applyFill="1" applyBorder="1" applyAlignment="1">
      <alignment horizontal="left"/>
    </xf>
    <xf numFmtId="0" fontId="48" fillId="5" borderId="16" xfId="16" applyFont="1" applyFill="1" applyBorder="1" applyAlignment="1">
      <alignment horizontal="center" vertical="center"/>
    </xf>
    <xf numFmtId="0" fontId="48" fillId="5" borderId="11" xfId="16" applyFont="1" applyFill="1" applyBorder="1" applyAlignment="1">
      <alignment horizontal="center" vertical="center"/>
    </xf>
    <xf numFmtId="0" fontId="77" fillId="21" borderId="15" xfId="16" applyFont="1" applyFill="1" applyBorder="1" applyAlignment="1">
      <alignment horizontal="center" vertical="center"/>
    </xf>
    <xf numFmtId="0" fontId="77" fillId="21" borderId="41" xfId="16" applyFont="1" applyFill="1" applyBorder="1" applyAlignment="1">
      <alignment horizontal="center" vertical="center"/>
    </xf>
    <xf numFmtId="0" fontId="77" fillId="21" borderId="44" xfId="16" applyFont="1" applyFill="1" applyBorder="1" applyAlignment="1">
      <alignment horizontal="center" vertical="center"/>
    </xf>
    <xf numFmtId="0" fontId="77" fillId="21" borderId="10" xfId="16" applyFont="1" applyFill="1" applyBorder="1" applyAlignment="1">
      <alignment horizontal="center" vertical="center"/>
    </xf>
    <xf numFmtId="0" fontId="77" fillId="21" borderId="0" xfId="16" applyFont="1" applyFill="1" applyAlignment="1">
      <alignment horizontal="center" vertical="center"/>
    </xf>
    <xf numFmtId="0" fontId="77" fillId="21" borderId="28" xfId="16" applyFont="1" applyFill="1" applyBorder="1" applyAlignment="1">
      <alignment horizontal="center" vertical="center"/>
    </xf>
    <xf numFmtId="0" fontId="77" fillId="21" borderId="32" xfId="16" applyFont="1" applyFill="1" applyBorder="1" applyAlignment="1">
      <alignment horizontal="center" vertical="center"/>
    </xf>
    <xf numFmtId="0" fontId="77" fillId="21" borderId="42" xfId="16" applyFont="1" applyFill="1" applyBorder="1" applyAlignment="1">
      <alignment horizontal="center" vertical="center"/>
    </xf>
    <xf numFmtId="0" fontId="77" fillId="21" borderId="45" xfId="16" applyFont="1" applyFill="1" applyBorder="1" applyAlignment="1">
      <alignment horizontal="center" vertical="center"/>
    </xf>
    <xf numFmtId="0" fontId="48" fillId="5" borderId="44" xfId="16" applyFont="1" applyFill="1" applyBorder="1" applyAlignment="1">
      <alignment horizontal="center" vertical="center"/>
    </xf>
    <xf numFmtId="0" fontId="48" fillId="5" borderId="45" xfId="16" applyFont="1" applyFill="1" applyBorder="1" applyAlignment="1">
      <alignment horizontal="center" vertical="center"/>
    </xf>
    <xf numFmtId="0" fontId="57" fillId="21" borderId="1" xfId="16" applyFont="1" applyFill="1" applyBorder="1" applyAlignment="1">
      <alignment horizontal="left"/>
    </xf>
    <xf numFmtId="0" fontId="48" fillId="5" borderId="2" xfId="16" applyFont="1" applyFill="1" applyBorder="1" applyAlignment="1">
      <alignment horizontal="center" vertical="center"/>
    </xf>
    <xf numFmtId="0" fontId="48" fillId="5" borderId="13" xfId="16" applyFont="1" applyFill="1" applyBorder="1" applyAlignment="1">
      <alignment horizontal="center" vertical="center"/>
    </xf>
    <xf numFmtId="0" fontId="77" fillId="15" borderId="2" xfId="16" applyFont="1" applyFill="1" applyBorder="1" applyAlignment="1">
      <alignment horizontal="left"/>
    </xf>
    <xf numFmtId="0" fontId="77" fillId="15" borderId="14" xfId="16" applyFont="1" applyFill="1" applyBorder="1" applyAlignment="1">
      <alignment horizontal="left"/>
    </xf>
    <xf numFmtId="39" fontId="50" fillId="17" borderId="1" xfId="56" applyNumberFormat="1" applyFont="1" applyFill="1" applyBorder="1" applyAlignment="1">
      <alignment horizontal="center" vertical="center"/>
    </xf>
    <xf numFmtId="0" fontId="48" fillId="9" borderId="1" xfId="16" applyFont="1" applyFill="1" applyBorder="1" applyAlignment="1">
      <alignment horizontal="center" vertical="center"/>
    </xf>
    <xf numFmtId="0" fontId="57" fillId="3" borderId="2" xfId="16" applyFont="1" applyFill="1" applyBorder="1" applyAlignment="1">
      <alignment horizontal="left"/>
    </xf>
    <xf numFmtId="0" fontId="57" fillId="3" borderId="14" xfId="16" applyFont="1" applyFill="1" applyBorder="1" applyAlignment="1">
      <alignment horizontal="left"/>
    </xf>
    <xf numFmtId="0" fontId="48" fillId="9" borderId="15" xfId="16" applyFont="1" applyFill="1" applyBorder="1" applyAlignment="1">
      <alignment horizontal="center" vertical="center"/>
    </xf>
    <xf numFmtId="0" fontId="48" fillId="9" borderId="41" xfId="16" applyFont="1" applyFill="1" applyBorder="1" applyAlignment="1">
      <alignment horizontal="center" vertical="center"/>
    </xf>
    <xf numFmtId="0" fontId="48" fillId="9" borderId="32" xfId="16" applyFont="1" applyFill="1" applyBorder="1" applyAlignment="1">
      <alignment horizontal="center" vertical="center"/>
    </xf>
    <xf numFmtId="0" fontId="48" fillId="9" borderId="42" xfId="16" applyFont="1" applyFill="1" applyBorder="1" applyAlignment="1">
      <alignment horizontal="center" vertical="center"/>
    </xf>
    <xf numFmtId="0" fontId="94" fillId="9" borderId="2" xfId="16" applyFont="1" applyFill="1" applyBorder="1" applyAlignment="1">
      <alignment horizontal="left" vertical="center" indent="10"/>
    </xf>
    <xf numFmtId="0" fontId="94" fillId="9" borderId="14" xfId="16" applyFont="1" applyFill="1" applyBorder="1" applyAlignment="1">
      <alignment horizontal="left" vertical="center" indent="10"/>
    </xf>
    <xf numFmtId="0" fontId="94" fillId="9" borderId="13" xfId="16" applyFont="1" applyFill="1" applyBorder="1" applyAlignment="1">
      <alignment horizontal="left" vertical="center" indent="10"/>
    </xf>
    <xf numFmtId="0" fontId="57" fillId="3" borderId="13" xfId="16" applyFont="1" applyFill="1" applyBorder="1" applyAlignment="1">
      <alignment horizontal="left"/>
    </xf>
    <xf numFmtId="0" fontId="48" fillId="9" borderId="44" xfId="16" applyFont="1" applyFill="1" applyBorder="1" applyAlignment="1">
      <alignment horizontal="center" vertical="center"/>
    </xf>
    <xf numFmtId="0" fontId="48" fillId="9" borderId="45" xfId="16" applyFont="1" applyFill="1" applyBorder="1" applyAlignment="1">
      <alignment horizontal="center" vertical="center"/>
    </xf>
    <xf numFmtId="0" fontId="57" fillId="21" borderId="13" xfId="16" applyFont="1" applyFill="1" applyBorder="1" applyAlignment="1">
      <alignment horizontal="left"/>
    </xf>
    <xf numFmtId="0" fontId="3" fillId="10" borderId="0" xfId="0" applyFont="1" applyFill="1" applyAlignment="1">
      <alignment horizontal="left" vertical="center" wrapText="1"/>
    </xf>
    <xf numFmtId="0" fontId="3" fillId="10" borderId="28" xfId="0" applyFont="1" applyFill="1" applyBorder="1" applyAlignment="1">
      <alignment horizontal="left" vertical="center" wrapText="1"/>
    </xf>
    <xf numFmtId="0" fontId="3" fillId="10" borderId="0" xfId="0" applyFont="1" applyFill="1" applyAlignment="1">
      <alignment horizontal="left"/>
    </xf>
    <xf numFmtId="0" fontId="3" fillId="10" borderId="28" xfId="0" applyFont="1" applyFill="1" applyBorder="1" applyAlignment="1">
      <alignment horizontal="left"/>
    </xf>
    <xf numFmtId="0" fontId="3" fillId="10" borderId="0" xfId="0" applyFont="1" applyFill="1" applyAlignment="1">
      <alignment horizontal="left" vertical="center"/>
    </xf>
    <xf numFmtId="0" fontId="3" fillId="10" borderId="0" xfId="0" applyFont="1" applyFill="1" applyAlignment="1">
      <alignment horizontal="right" vertical="center"/>
    </xf>
    <xf numFmtId="0" fontId="3" fillId="10" borderId="28" xfId="0" applyFont="1" applyFill="1" applyBorder="1" applyAlignment="1">
      <alignment horizontal="left" vertical="center"/>
    </xf>
    <xf numFmtId="0" fontId="63" fillId="0" borderId="0" xfId="0" applyFont="1" applyAlignment="1">
      <alignment horizontal="left" wrapText="1"/>
    </xf>
    <xf numFmtId="0" fontId="3" fillId="10" borderId="0" xfId="0" applyFont="1" applyFill="1" applyAlignment="1">
      <alignment horizontal="center" vertical="center"/>
    </xf>
    <xf numFmtId="0" fontId="4" fillId="0" borderId="0" xfId="0" applyFont="1" applyAlignment="1">
      <alignment horizontal="left"/>
    </xf>
    <xf numFmtId="0" fontId="4" fillId="0" borderId="28" xfId="0" applyFont="1" applyBorder="1" applyAlignment="1">
      <alignment horizontal="left"/>
    </xf>
    <xf numFmtId="0" fontId="54" fillId="25" borderId="2" xfId="0" applyFont="1" applyFill="1" applyBorder="1" applyAlignment="1">
      <alignment horizontal="right"/>
    </xf>
    <xf numFmtId="0" fontId="54" fillId="25" borderId="14" xfId="0" applyFont="1" applyFill="1" applyBorder="1" applyAlignment="1">
      <alignment horizontal="right"/>
    </xf>
    <xf numFmtId="0" fontId="54" fillId="25" borderId="13" xfId="0" applyFont="1" applyFill="1" applyBorder="1" applyAlignment="1">
      <alignment horizontal="right"/>
    </xf>
    <xf numFmtId="0" fontId="51" fillId="24" borderId="10" xfId="0" applyFont="1" applyFill="1" applyBorder="1" applyAlignment="1">
      <alignment horizontal="left"/>
    </xf>
    <xf numFmtId="0" fontId="51" fillId="24" borderId="0" xfId="0" applyFont="1" applyFill="1" applyAlignment="1">
      <alignment horizontal="left"/>
    </xf>
    <xf numFmtId="0" fontId="51" fillId="24" borderId="32" xfId="0" applyFont="1" applyFill="1" applyBorder="1" applyAlignment="1">
      <alignment horizontal="left"/>
    </xf>
    <xf numFmtId="0" fontId="51" fillId="24" borderId="42" xfId="0" applyFont="1" applyFill="1" applyBorder="1" applyAlignment="1">
      <alignment horizontal="left"/>
    </xf>
    <xf numFmtId="0" fontId="85" fillId="24" borderId="2" xfId="0" applyFont="1" applyFill="1" applyBorder="1" applyAlignment="1">
      <alignment horizontal="center"/>
    </xf>
    <xf numFmtId="0" fontId="85" fillId="24" borderId="14" xfId="0" applyFont="1" applyFill="1" applyBorder="1" applyAlignment="1">
      <alignment horizontal="center"/>
    </xf>
    <xf numFmtId="0" fontId="85" fillId="24" borderId="13" xfId="0" applyFont="1" applyFill="1" applyBorder="1" applyAlignment="1">
      <alignment horizontal="center"/>
    </xf>
    <xf numFmtId="0" fontId="85" fillId="26" borderId="2" xfId="0" applyFont="1" applyFill="1" applyBorder="1" applyAlignment="1">
      <alignment horizontal="right"/>
    </xf>
    <xf numFmtId="0" fontId="85" fillId="26" borderId="14" xfId="0" applyFont="1" applyFill="1" applyBorder="1" applyAlignment="1">
      <alignment horizontal="right"/>
    </xf>
    <xf numFmtId="0" fontId="85" fillId="26" borderId="13" xfId="0" applyFont="1" applyFill="1" applyBorder="1" applyAlignment="1">
      <alignment horizontal="right"/>
    </xf>
    <xf numFmtId="0" fontId="85" fillId="24" borderId="15" xfId="0" applyFont="1" applyFill="1" applyBorder="1" applyAlignment="1">
      <alignment horizontal="center"/>
    </xf>
    <xf numFmtId="0" fontId="85" fillId="24" borderId="41" xfId="0" applyFont="1" applyFill="1" applyBorder="1" applyAlignment="1">
      <alignment horizontal="center"/>
    </xf>
    <xf numFmtId="0" fontId="51" fillId="24" borderId="15" xfId="0" applyFont="1" applyFill="1" applyBorder="1" applyAlignment="1">
      <alignment horizontal="left"/>
    </xf>
    <xf numFmtId="0" fontId="51" fillId="24" borderId="41" xfId="0" applyFont="1" applyFill="1" applyBorder="1" applyAlignment="1">
      <alignment horizontal="left"/>
    </xf>
    <xf numFmtId="0" fontId="85" fillId="23" borderId="10" xfId="0" applyFont="1" applyFill="1" applyBorder="1" applyAlignment="1">
      <alignment horizontal="right"/>
    </xf>
    <xf numFmtId="0" fontId="85" fillId="23" borderId="0" xfId="0" applyFont="1" applyFill="1" applyAlignment="1">
      <alignment horizontal="right"/>
    </xf>
    <xf numFmtId="0" fontId="51" fillId="23" borderId="10" xfId="0" applyFont="1" applyFill="1" applyBorder="1" applyAlignment="1">
      <alignment horizontal="left"/>
    </xf>
    <xf numFmtId="0" fontId="51" fillId="23" borderId="0" xfId="0" applyFont="1" applyFill="1" applyAlignment="1">
      <alignment horizontal="left"/>
    </xf>
    <xf numFmtId="0" fontId="85" fillId="24" borderId="2" xfId="0" applyFont="1" applyFill="1" applyBorder="1" applyAlignment="1">
      <alignment horizontal="right"/>
    </xf>
    <xf numFmtId="0" fontId="85" fillId="24" borderId="14" xfId="0" applyFont="1" applyFill="1" applyBorder="1" applyAlignment="1">
      <alignment horizontal="right"/>
    </xf>
    <xf numFmtId="0" fontId="85" fillId="23" borderId="32" xfId="0" applyFont="1" applyFill="1" applyBorder="1" applyAlignment="1">
      <alignment horizontal="right"/>
    </xf>
    <xf numFmtId="0" fontId="85" fillId="23" borderId="42" xfId="0" applyFont="1" applyFill="1" applyBorder="1" applyAlignment="1">
      <alignment horizontal="right"/>
    </xf>
    <xf numFmtId="0" fontId="51" fillId="23" borderId="10" xfId="0" applyFont="1" applyFill="1" applyBorder="1" applyAlignment="1">
      <alignment horizontal="left" vertical="center"/>
    </xf>
    <xf numFmtId="0" fontId="51" fillId="23" borderId="0" xfId="0" applyFont="1" applyFill="1" applyAlignment="1">
      <alignment horizontal="left" vertical="center"/>
    </xf>
    <xf numFmtId="0" fontId="85" fillId="23" borderId="2" xfId="0" applyFont="1" applyFill="1" applyBorder="1" applyAlignment="1">
      <alignment horizontal="right"/>
    </xf>
    <xf numFmtId="0" fontId="85" fillId="23" borderId="14" xfId="0" applyFont="1" applyFill="1" applyBorder="1" applyAlignment="1">
      <alignment horizontal="right"/>
    </xf>
    <xf numFmtId="0" fontId="85" fillId="10" borderId="2" xfId="0" applyFont="1" applyFill="1" applyBorder="1" applyAlignment="1">
      <alignment horizontal="center"/>
    </xf>
    <xf numFmtId="0" fontId="85" fillId="10" borderId="14" xfId="0" applyFont="1" applyFill="1" applyBorder="1" applyAlignment="1">
      <alignment horizontal="center"/>
    </xf>
    <xf numFmtId="0" fontId="85" fillId="10" borderId="13" xfId="0" applyFont="1" applyFill="1" applyBorder="1" applyAlignment="1">
      <alignment horizontal="center"/>
    </xf>
    <xf numFmtId="0" fontId="85" fillId="22" borderId="2" xfId="0" applyFont="1" applyFill="1" applyBorder="1" applyAlignment="1">
      <alignment horizontal="right"/>
    </xf>
    <xf numFmtId="0" fontId="85" fillId="22" borderId="14" xfId="0" applyFont="1" applyFill="1" applyBorder="1" applyAlignment="1">
      <alignment horizontal="right"/>
    </xf>
    <xf numFmtId="0" fontId="85" fillId="22" borderId="13" xfId="0" applyFont="1" applyFill="1" applyBorder="1" applyAlignment="1">
      <alignment horizontal="right"/>
    </xf>
    <xf numFmtId="0" fontId="51" fillId="22" borderId="10" xfId="0" applyFont="1" applyFill="1" applyBorder="1" applyAlignment="1">
      <alignment horizontal="left"/>
    </xf>
    <xf numFmtId="0" fontId="51" fillId="22" borderId="0" xfId="0" applyFont="1" applyFill="1" applyAlignment="1">
      <alignment horizontal="left"/>
    </xf>
    <xf numFmtId="0" fontId="51" fillId="22" borderId="32" xfId="0" applyFont="1" applyFill="1" applyBorder="1" applyAlignment="1">
      <alignment horizontal="left"/>
    </xf>
    <xf numFmtId="0" fontId="51" fillId="22" borderId="42" xfId="0" applyFont="1" applyFill="1" applyBorder="1" applyAlignment="1">
      <alignment horizontal="left"/>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95" fillId="12" borderId="0" xfId="0" applyFont="1" applyFill="1" applyAlignment="1">
      <alignment horizontal="center" vertical="center" wrapText="1"/>
    </xf>
    <xf numFmtId="0" fontId="95" fillId="12" borderId="28" xfId="0" applyFont="1" applyFill="1" applyBorder="1" applyAlignment="1">
      <alignment horizontal="center" vertical="center" wrapText="1"/>
    </xf>
    <xf numFmtId="0" fontId="91" fillId="12" borderId="15" xfId="0" applyFont="1" applyFill="1" applyBorder="1" applyAlignment="1">
      <alignment horizontal="right" vertical="center" wrapText="1"/>
    </xf>
    <xf numFmtId="0" fontId="91" fillId="12" borderId="32" xfId="0" applyFont="1" applyFill="1" applyBorder="1" applyAlignment="1">
      <alignment horizontal="right" vertical="center" wrapText="1"/>
    </xf>
    <xf numFmtId="0" fontId="72" fillId="12" borderId="44" xfId="0" applyFont="1" applyFill="1" applyBorder="1" applyAlignment="1">
      <alignment horizontal="left" vertical="center" wrapText="1"/>
    </xf>
    <xf numFmtId="0" fontId="72" fillId="12" borderId="45" xfId="0" applyFont="1" applyFill="1" applyBorder="1" applyAlignment="1">
      <alignment horizontal="left" vertical="center" wrapText="1"/>
    </xf>
    <xf numFmtId="0" fontId="93" fillId="12" borderId="0" xfId="0" applyFont="1" applyFill="1" applyAlignment="1">
      <alignment horizontal="center" vertical="center" wrapText="1"/>
    </xf>
    <xf numFmtId="0" fontId="93" fillId="12" borderId="28" xfId="0" applyFont="1" applyFill="1" applyBorder="1" applyAlignment="1">
      <alignment horizontal="center" vertical="center" wrapText="1"/>
    </xf>
    <xf numFmtId="0" fontId="57" fillId="15" borderId="2" xfId="16" applyFont="1" applyFill="1" applyBorder="1" applyAlignment="1">
      <alignment horizontal="left"/>
    </xf>
    <xf numFmtId="0" fontId="57" fillId="15" borderId="14" xfId="16" applyFont="1" applyFill="1" applyBorder="1" applyAlignment="1">
      <alignment horizontal="left"/>
    </xf>
    <xf numFmtId="0" fontId="57" fillId="15" borderId="13" xfId="16" applyFont="1" applyFill="1" applyBorder="1" applyAlignment="1">
      <alignment horizontal="left"/>
    </xf>
    <xf numFmtId="0" fontId="57" fillId="15" borderId="2" xfId="16" applyFont="1" applyFill="1" applyBorder="1" applyAlignment="1">
      <alignment horizontal="center"/>
    </xf>
    <xf numFmtId="0" fontId="57" fillId="15" borderId="14" xfId="16" applyFont="1" applyFill="1" applyBorder="1" applyAlignment="1">
      <alignment horizontal="center"/>
    </xf>
    <xf numFmtId="0" fontId="57" fillId="15" borderId="13" xfId="16" applyFont="1" applyFill="1" applyBorder="1" applyAlignment="1">
      <alignment horizontal="center"/>
    </xf>
    <xf numFmtId="0" fontId="60" fillId="0" borderId="10" xfId="0" applyFont="1" applyBorder="1" applyAlignment="1">
      <alignment horizontal="left" vertical="center" textRotation="90"/>
    </xf>
    <xf numFmtId="0" fontId="96" fillId="12" borderId="15" xfId="16" applyFont="1" applyFill="1" applyBorder="1" applyAlignment="1">
      <alignment horizontal="center" vertical="center"/>
    </xf>
    <xf numFmtId="0" fontId="96" fillId="12" borderId="44" xfId="16" applyFont="1" applyFill="1" applyBorder="1" applyAlignment="1">
      <alignment horizontal="center" vertical="center"/>
    </xf>
    <xf numFmtId="0" fontId="96" fillId="12" borderId="32" xfId="16" applyFont="1" applyFill="1" applyBorder="1" applyAlignment="1">
      <alignment horizontal="center" vertical="center"/>
    </xf>
    <xf numFmtId="0" fontId="96" fillId="12" borderId="45" xfId="16" applyFont="1" applyFill="1" applyBorder="1" applyAlignment="1">
      <alignment horizontal="center" vertical="center"/>
    </xf>
    <xf numFmtId="167" fontId="46" fillId="4" borderId="2" xfId="56" applyNumberFormat="1" applyFont="1" applyFill="1" applyBorder="1" applyAlignment="1">
      <alignment horizontal="center" vertical="center"/>
    </xf>
    <xf numFmtId="167" fontId="46" fillId="4" borderId="13" xfId="56" applyNumberFormat="1" applyFont="1" applyFill="1" applyBorder="1" applyAlignment="1">
      <alignment horizontal="center" vertical="center"/>
    </xf>
    <xf numFmtId="0" fontId="48" fillId="9" borderId="16" xfId="16" applyFont="1" applyFill="1" applyBorder="1" applyAlignment="1">
      <alignment horizontal="center" vertical="center" wrapText="1"/>
    </xf>
    <xf numFmtId="0" fontId="48" fillId="9" borderId="11" xfId="16" applyFont="1" applyFill="1" applyBorder="1" applyAlignment="1">
      <alignment horizontal="center" vertical="center" wrapText="1"/>
    </xf>
    <xf numFmtId="0" fontId="48" fillId="9" borderId="15" xfId="16" applyFont="1" applyFill="1" applyBorder="1" applyAlignment="1">
      <alignment horizontal="center" vertical="center" wrapText="1"/>
    </xf>
    <xf numFmtId="0" fontId="48" fillId="9" borderId="32" xfId="16" applyFont="1" applyFill="1" applyBorder="1" applyAlignment="1">
      <alignment horizontal="center" vertical="center" wrapText="1"/>
    </xf>
    <xf numFmtId="169" fontId="46" fillId="8" borderId="2" xfId="56" applyNumberFormat="1" applyFont="1" applyFill="1" applyBorder="1" applyAlignment="1">
      <alignment horizontal="right" vertical="center"/>
    </xf>
    <xf numFmtId="169" fontId="46" fillId="8" borderId="13" xfId="56" applyNumberFormat="1" applyFont="1" applyFill="1" applyBorder="1" applyAlignment="1">
      <alignment horizontal="right" vertical="center"/>
    </xf>
    <xf numFmtId="169" fontId="46" fillId="8" borderId="1" xfId="56" applyNumberFormat="1" applyFont="1" applyFill="1" applyBorder="1" applyAlignment="1">
      <alignment horizontal="right" vertical="center"/>
    </xf>
    <xf numFmtId="0" fontId="48" fillId="9" borderId="1" xfId="16" applyFont="1" applyFill="1" applyBorder="1" applyAlignment="1">
      <alignment horizontal="center" vertical="center" wrapText="1"/>
    </xf>
    <xf numFmtId="0" fontId="48" fillId="12" borderId="1" xfId="16" applyFont="1" applyFill="1" applyBorder="1" applyAlignment="1">
      <alignment horizontal="center" vertical="center"/>
    </xf>
    <xf numFmtId="0" fontId="48" fillId="12" borderId="16" xfId="16" applyFont="1" applyFill="1" applyBorder="1" applyAlignment="1">
      <alignment horizontal="center" vertical="center" wrapText="1"/>
    </xf>
    <xf numFmtId="0" fontId="48" fillId="12" borderId="11" xfId="16" applyFont="1" applyFill="1" applyBorder="1" applyAlignment="1">
      <alignment horizontal="center" vertical="center" wrapText="1"/>
    </xf>
    <xf numFmtId="0" fontId="48" fillId="12" borderId="15" xfId="16" applyFont="1" applyFill="1" applyBorder="1" applyAlignment="1">
      <alignment horizontal="center" vertical="center"/>
    </xf>
    <xf numFmtId="0" fontId="48" fillId="12" borderId="44" xfId="16" applyFont="1" applyFill="1" applyBorder="1" applyAlignment="1">
      <alignment horizontal="center" vertical="center"/>
    </xf>
    <xf numFmtId="0" fontId="48" fillId="12" borderId="32" xfId="16" applyFont="1" applyFill="1" applyBorder="1" applyAlignment="1">
      <alignment horizontal="center" vertical="center"/>
    </xf>
    <xf numFmtId="0" fontId="48" fillId="12" borderId="45" xfId="16" applyFont="1" applyFill="1" applyBorder="1" applyAlignment="1">
      <alignment horizontal="center" vertical="center"/>
    </xf>
    <xf numFmtId="167" fontId="46" fillId="4" borderId="15" xfId="56" applyNumberFormat="1" applyFont="1" applyFill="1" applyBorder="1" applyAlignment="1">
      <alignment horizontal="center" vertical="center" wrapText="1"/>
    </xf>
    <xf numFmtId="167" fontId="46" fillId="4" borderId="44" xfId="56" applyNumberFormat="1" applyFont="1" applyFill="1" applyBorder="1" applyAlignment="1">
      <alignment horizontal="center" vertical="center" wrapText="1"/>
    </xf>
    <xf numFmtId="167" fontId="46" fillId="4" borderId="10" xfId="56" applyNumberFormat="1" applyFont="1" applyFill="1" applyBorder="1" applyAlignment="1">
      <alignment horizontal="center" vertical="center" wrapText="1"/>
    </xf>
    <xf numFmtId="167" fontId="46" fillId="4" borderId="28" xfId="56" applyNumberFormat="1" applyFont="1" applyFill="1" applyBorder="1" applyAlignment="1">
      <alignment horizontal="center" vertical="center" wrapText="1"/>
    </xf>
    <xf numFmtId="167" fontId="46" fillId="4" borderId="32" xfId="56" applyNumberFormat="1" applyFont="1" applyFill="1" applyBorder="1" applyAlignment="1">
      <alignment horizontal="center" vertical="center" wrapText="1"/>
    </xf>
    <xf numFmtId="167" fontId="46" fillId="4" borderId="45" xfId="56" applyNumberFormat="1" applyFont="1" applyFill="1" applyBorder="1" applyAlignment="1">
      <alignment horizontal="center" vertical="center" wrapText="1"/>
    </xf>
    <xf numFmtId="0" fontId="48" fillId="12" borderId="41" xfId="16" applyFont="1" applyFill="1" applyBorder="1" applyAlignment="1">
      <alignment horizontal="center" vertical="center"/>
    </xf>
    <xf numFmtId="0" fontId="48" fillId="12" borderId="42" xfId="16" applyFont="1" applyFill="1" applyBorder="1" applyAlignment="1">
      <alignment horizontal="center" vertical="center"/>
    </xf>
    <xf numFmtId="0" fontId="60" fillId="0" borderId="0" xfId="0" applyFont="1" applyAlignment="1">
      <alignment horizontal="left" vertical="center" textRotation="90"/>
    </xf>
    <xf numFmtId="0" fontId="57" fillId="14" borderId="55" xfId="16" applyFont="1" applyFill="1" applyBorder="1" applyAlignment="1">
      <alignment horizontal="center" vertical="center"/>
    </xf>
    <xf numFmtId="0" fontId="57" fillId="14" borderId="41" xfId="16" applyFont="1" applyFill="1" applyBorder="1" applyAlignment="1">
      <alignment horizontal="center" vertical="center"/>
    </xf>
    <xf numFmtId="0" fontId="57" fillId="14" borderId="44" xfId="16" applyFont="1" applyFill="1" applyBorder="1" applyAlignment="1">
      <alignment horizontal="center" vertical="center"/>
    </xf>
    <xf numFmtId="0" fontId="57" fillId="14" borderId="5" xfId="16" applyFont="1" applyFill="1" applyBorder="1" applyAlignment="1">
      <alignment horizontal="center" vertical="center"/>
    </xf>
    <xf numFmtId="0" fontId="57" fillId="14" borderId="0" xfId="16" applyFont="1" applyFill="1" applyAlignment="1">
      <alignment horizontal="center" vertical="center"/>
    </xf>
    <xf numFmtId="0" fontId="57" fillId="14" borderId="28" xfId="16" applyFont="1" applyFill="1" applyBorder="1" applyAlignment="1">
      <alignment horizontal="center" vertical="center"/>
    </xf>
    <xf numFmtId="0" fontId="57" fillId="14" borderId="56" xfId="16" applyFont="1" applyFill="1" applyBorder="1" applyAlignment="1">
      <alignment horizontal="center" vertical="center"/>
    </xf>
    <xf numFmtId="0" fontId="57" fillId="14" borderId="42" xfId="16" applyFont="1" applyFill="1" applyBorder="1" applyAlignment="1">
      <alignment horizontal="center" vertical="center"/>
    </xf>
    <xf numFmtId="0" fontId="57" fillId="14" borderId="45" xfId="16" applyFont="1" applyFill="1" applyBorder="1" applyAlignment="1">
      <alignment horizontal="center" vertical="center"/>
    </xf>
    <xf numFmtId="0" fontId="48" fillId="9" borderId="20" xfId="16" applyFont="1" applyFill="1" applyBorder="1" applyAlignment="1">
      <alignment horizontal="center" vertical="center"/>
    </xf>
    <xf numFmtId="0" fontId="48" fillId="9" borderId="54" xfId="16" applyFont="1" applyFill="1" applyBorder="1" applyAlignment="1">
      <alignment horizontal="center" vertical="center"/>
    </xf>
    <xf numFmtId="0" fontId="78" fillId="9" borderId="0" xfId="16" applyFont="1" applyFill="1" applyAlignment="1">
      <alignment horizontal="center" vertical="center"/>
    </xf>
    <xf numFmtId="0" fontId="78" fillId="9" borderId="28" xfId="16" applyFont="1" applyFill="1" applyBorder="1" applyAlignment="1">
      <alignment horizontal="center" vertical="center"/>
    </xf>
    <xf numFmtId="0" fontId="57" fillId="14" borderId="1" xfId="16" applyFont="1" applyFill="1" applyBorder="1" applyAlignment="1">
      <alignment horizontal="center" vertical="center"/>
    </xf>
    <xf numFmtId="0" fontId="48" fillId="9" borderId="53" xfId="16" applyFont="1" applyFill="1" applyBorder="1" applyAlignment="1">
      <alignment horizontal="center" vertical="center"/>
    </xf>
    <xf numFmtId="0" fontId="48" fillId="9" borderId="11" xfId="16" applyFont="1" applyFill="1" applyBorder="1" applyAlignment="1">
      <alignment horizontal="center" vertical="center"/>
    </xf>
    <xf numFmtId="0" fontId="48" fillId="16" borderId="53" xfId="16" applyFont="1" applyFill="1" applyBorder="1" applyAlignment="1">
      <alignment horizontal="center" vertical="center"/>
    </xf>
    <xf numFmtId="0" fontId="48" fillId="16" borderId="17" xfId="16" applyFont="1" applyFill="1" applyBorder="1" applyAlignment="1">
      <alignment horizontal="center" vertical="center"/>
    </xf>
    <xf numFmtId="0" fontId="48" fillId="16" borderId="20" xfId="16" applyFont="1" applyFill="1" applyBorder="1" applyAlignment="1">
      <alignment horizontal="center" vertical="center"/>
    </xf>
    <xf numFmtId="0" fontId="48" fillId="16" borderId="54" xfId="16" applyFont="1" applyFill="1" applyBorder="1" applyAlignment="1">
      <alignment horizontal="center" vertical="center"/>
    </xf>
    <xf numFmtId="0" fontId="57" fillId="16" borderId="3" xfId="16" applyFont="1" applyFill="1" applyBorder="1" applyAlignment="1">
      <alignment horizontal="center" vertical="center"/>
    </xf>
    <xf numFmtId="0" fontId="57" fillId="16" borderId="12" xfId="16" applyFont="1" applyFill="1" applyBorder="1" applyAlignment="1">
      <alignment horizontal="center" vertical="center"/>
    </xf>
    <xf numFmtId="0" fontId="57" fillId="16" borderId="46" xfId="16" applyFont="1" applyFill="1" applyBorder="1" applyAlignment="1">
      <alignment horizontal="center" vertical="center"/>
    </xf>
    <xf numFmtId="0" fontId="57" fillId="16" borderId="5" xfId="16" applyFont="1" applyFill="1" applyBorder="1" applyAlignment="1">
      <alignment horizontal="center" vertical="center"/>
    </xf>
    <xf numFmtId="0" fontId="57" fillId="16" borderId="0" xfId="16" applyFont="1" applyFill="1" applyAlignment="1">
      <alignment horizontal="center" vertical="center"/>
    </xf>
    <xf numFmtId="0" fontId="57" fillId="16" borderId="28" xfId="16" applyFont="1" applyFill="1" applyBorder="1" applyAlignment="1">
      <alignment horizontal="center" vertical="center"/>
    </xf>
    <xf numFmtId="0" fontId="57" fillId="16" borderId="7" xfId="16" applyFont="1" applyFill="1" applyBorder="1" applyAlignment="1">
      <alignment horizontal="center" vertical="center"/>
    </xf>
    <xf numFmtId="0" fontId="57" fillId="16" borderId="8" xfId="16" applyFont="1" applyFill="1" applyBorder="1" applyAlignment="1">
      <alignment horizontal="center" vertical="center"/>
    </xf>
    <xf numFmtId="0" fontId="57" fillId="16" borderId="47" xfId="16" applyFont="1" applyFill="1" applyBorder="1" applyAlignment="1">
      <alignment horizontal="center" vertical="center"/>
    </xf>
    <xf numFmtId="0" fontId="48" fillId="16" borderId="51" xfId="16" applyFont="1" applyFill="1" applyBorder="1" applyAlignment="1">
      <alignment horizontal="center" vertical="center"/>
    </xf>
    <xf numFmtId="0" fontId="48" fillId="16" borderId="48" xfId="16" applyFont="1" applyFill="1" applyBorder="1" applyAlignment="1">
      <alignment horizontal="center" vertical="center"/>
    </xf>
    <xf numFmtId="0" fontId="48" fillId="16" borderId="18" xfId="16" applyFont="1" applyFill="1" applyBorder="1" applyAlignment="1">
      <alignment horizontal="center" vertical="center"/>
    </xf>
    <xf numFmtId="0" fontId="48" fillId="16" borderId="52" xfId="16" applyFont="1" applyFill="1" applyBorder="1" applyAlignment="1">
      <alignment horizontal="center" vertical="center"/>
    </xf>
    <xf numFmtId="0" fontId="48" fillId="16" borderId="16" xfId="16" applyFont="1" applyFill="1" applyBorder="1" applyAlignment="1">
      <alignment horizontal="center" vertical="center"/>
    </xf>
    <xf numFmtId="9" fontId="46" fillId="6" borderId="16" xfId="30" applyFont="1" applyFill="1" applyBorder="1" applyAlignment="1">
      <alignment horizontal="center" vertical="center"/>
    </xf>
    <xf numFmtId="9" fontId="46" fillId="6" borderId="11" xfId="30" applyFont="1" applyFill="1" applyBorder="1" applyAlignment="1">
      <alignment horizontal="center" vertical="center"/>
    </xf>
    <xf numFmtId="0" fontId="48" fillId="12" borderId="16" xfId="0" applyFont="1" applyFill="1" applyBorder="1" applyAlignment="1">
      <alignment horizontal="center" vertical="center" wrapText="1"/>
    </xf>
    <xf numFmtId="0" fontId="48" fillId="12" borderId="11" xfId="0" applyFont="1" applyFill="1" applyBorder="1" applyAlignment="1">
      <alignment horizontal="center" vertical="center" wrapText="1"/>
    </xf>
    <xf numFmtId="167" fontId="46" fillId="6" borderId="16" xfId="56" applyNumberFormat="1" applyFont="1" applyFill="1" applyBorder="1" applyAlignment="1">
      <alignment horizontal="center" vertical="center"/>
    </xf>
    <xf numFmtId="167" fontId="46" fillId="6" borderId="11" xfId="56" applyNumberFormat="1" applyFont="1" applyFill="1" applyBorder="1" applyAlignment="1">
      <alignment horizontal="center" vertical="center"/>
    </xf>
    <xf numFmtId="0" fontId="48" fillId="0" borderId="0" xfId="16" applyFont="1" applyAlignment="1">
      <alignment horizontal="center" vertical="center"/>
    </xf>
    <xf numFmtId="0" fontId="57" fillId="16" borderId="48" xfId="16" applyFont="1" applyFill="1" applyBorder="1" applyAlignment="1">
      <alignment horizontal="center" vertical="center"/>
    </xf>
    <xf numFmtId="0" fontId="57" fillId="16" borderId="18" xfId="16" applyFont="1" applyFill="1" applyBorder="1" applyAlignment="1">
      <alignment horizontal="center" vertical="center"/>
    </xf>
    <xf numFmtId="0" fontId="57" fillId="16" borderId="49" xfId="16" applyFont="1" applyFill="1" applyBorder="1" applyAlignment="1">
      <alignment horizontal="center" vertical="center"/>
    </xf>
    <xf numFmtId="0" fontId="57" fillId="16" borderId="1" xfId="16" applyFont="1" applyFill="1" applyBorder="1" applyAlignment="1">
      <alignment horizontal="center" vertical="center"/>
    </xf>
    <xf numFmtId="0" fontId="57" fillId="16" borderId="52" xfId="16" applyFont="1" applyFill="1" applyBorder="1" applyAlignment="1">
      <alignment horizontal="center" vertical="center"/>
    </xf>
    <xf numFmtId="0" fontId="57" fillId="16" borderId="16" xfId="16" applyFont="1" applyFill="1" applyBorder="1" applyAlignment="1">
      <alignment horizontal="center" vertical="center"/>
    </xf>
    <xf numFmtId="0" fontId="48" fillId="9" borderId="16" xfId="16" applyFont="1" applyFill="1" applyBorder="1" applyAlignment="1">
      <alignment horizontal="center" vertical="center"/>
    </xf>
    <xf numFmtId="0" fontId="57" fillId="14" borderId="3" xfId="16" applyFont="1" applyFill="1" applyBorder="1" applyAlignment="1">
      <alignment horizontal="center" vertical="center"/>
    </xf>
    <xf numFmtId="0" fontId="57" fillId="14" borderId="12" xfId="16" applyFont="1" applyFill="1" applyBorder="1" applyAlignment="1">
      <alignment horizontal="center" vertical="center"/>
    </xf>
    <xf numFmtId="0" fontId="57" fillId="14" borderId="46" xfId="16" applyFont="1" applyFill="1" applyBorder="1" applyAlignment="1">
      <alignment horizontal="center" vertical="center"/>
    </xf>
    <xf numFmtId="0" fontId="57" fillId="14" borderId="7" xfId="16" applyFont="1" applyFill="1" applyBorder="1" applyAlignment="1">
      <alignment horizontal="center" vertical="center"/>
    </xf>
    <xf numFmtId="0" fontId="57" fillId="14" borderId="8" xfId="16" applyFont="1" applyFill="1" applyBorder="1" applyAlignment="1">
      <alignment horizontal="center" vertical="center"/>
    </xf>
    <xf numFmtId="0" fontId="57" fillId="14" borderId="47" xfId="16" applyFont="1" applyFill="1" applyBorder="1" applyAlignment="1">
      <alignment horizontal="center" vertical="center"/>
    </xf>
    <xf numFmtId="0" fontId="57" fillId="14" borderId="48" xfId="16" applyFont="1" applyFill="1" applyBorder="1" applyAlignment="1">
      <alignment horizontal="center" vertical="center"/>
    </xf>
    <xf numFmtId="0" fontId="57" fillId="14" borderId="18" xfId="16" applyFont="1" applyFill="1" applyBorder="1" applyAlignment="1">
      <alignment horizontal="center" vertical="center"/>
    </xf>
    <xf numFmtId="0" fontId="57" fillId="14" borderId="49" xfId="16" applyFont="1" applyFill="1" applyBorder="1" applyAlignment="1">
      <alignment horizontal="center" vertical="center"/>
    </xf>
    <xf numFmtId="0" fontId="57" fillId="14" borderId="50" xfId="16" applyFont="1" applyFill="1" applyBorder="1" applyAlignment="1">
      <alignment horizontal="center" vertical="center"/>
    </xf>
    <xf numFmtId="0" fontId="57" fillId="14" borderId="19" xfId="16" applyFont="1" applyFill="1" applyBorder="1" applyAlignment="1">
      <alignment horizontal="center" vertical="center"/>
    </xf>
    <xf numFmtId="0" fontId="48" fillId="9" borderId="51" xfId="16" applyFont="1" applyFill="1" applyBorder="1" applyAlignment="1">
      <alignment horizontal="center" vertical="center"/>
    </xf>
    <xf numFmtId="0" fontId="48" fillId="9" borderId="17" xfId="16" applyFont="1" applyFill="1" applyBorder="1" applyAlignment="1">
      <alignment horizontal="center" vertical="center"/>
    </xf>
    <xf numFmtId="0" fontId="48" fillId="9" borderId="48" xfId="16" applyFont="1" applyFill="1" applyBorder="1" applyAlignment="1">
      <alignment horizontal="center" vertical="center"/>
    </xf>
    <xf numFmtId="0" fontId="48" fillId="9" borderId="18" xfId="16" applyFont="1" applyFill="1" applyBorder="1" applyAlignment="1">
      <alignment horizontal="center" vertical="center"/>
    </xf>
    <xf numFmtId="0" fontId="48" fillId="9" borderId="49" xfId="16" applyFont="1" applyFill="1" applyBorder="1" applyAlignment="1">
      <alignment horizontal="center" vertical="center"/>
    </xf>
    <xf numFmtId="0" fontId="48" fillId="12" borderId="15" xfId="0" applyFont="1" applyFill="1" applyBorder="1" applyAlignment="1">
      <alignment horizontal="center" vertical="center" wrapText="1"/>
    </xf>
    <xf numFmtId="0" fontId="48" fillId="12" borderId="41" xfId="0" applyFont="1" applyFill="1" applyBorder="1" applyAlignment="1">
      <alignment horizontal="center" vertical="center" wrapText="1"/>
    </xf>
    <xf numFmtId="0" fontId="48" fillId="12" borderId="44" xfId="0" applyFont="1" applyFill="1" applyBorder="1" applyAlignment="1">
      <alignment horizontal="center" vertical="center" wrapText="1"/>
    </xf>
    <xf numFmtId="0" fontId="48" fillId="12" borderId="32" xfId="0" applyFont="1" applyFill="1" applyBorder="1" applyAlignment="1">
      <alignment horizontal="center" vertical="center" wrapText="1"/>
    </xf>
    <xf numFmtId="0" fontId="48" fillId="12" borderId="42" xfId="0" applyFont="1" applyFill="1" applyBorder="1" applyAlignment="1">
      <alignment horizontal="center" vertical="center" wrapText="1"/>
    </xf>
    <xf numFmtId="0" fontId="48" fillId="12" borderId="45" xfId="0" applyFont="1" applyFill="1" applyBorder="1" applyAlignment="1">
      <alignment horizontal="center" vertical="center" wrapText="1"/>
    </xf>
    <xf numFmtId="0" fontId="57" fillId="16" borderId="50" xfId="16" applyFont="1" applyFill="1" applyBorder="1" applyAlignment="1">
      <alignment horizontal="center" vertical="center"/>
    </xf>
    <xf numFmtId="0" fontId="57" fillId="16" borderId="19" xfId="16" applyFont="1" applyFill="1" applyBorder="1" applyAlignment="1">
      <alignment horizontal="center" vertical="center"/>
    </xf>
    <xf numFmtId="0" fontId="93" fillId="12" borderId="1" xfId="0" applyFont="1" applyFill="1" applyBorder="1" applyAlignment="1">
      <alignment horizontal="center" vertical="center" wrapText="1"/>
    </xf>
    <xf numFmtId="0" fontId="72" fillId="12" borderId="32" xfId="0" applyFont="1" applyFill="1" applyBorder="1" applyAlignment="1">
      <alignment horizontal="center" vertical="center" wrapText="1"/>
    </xf>
    <xf numFmtId="0" fontId="72" fillId="12" borderId="42" xfId="0" applyFont="1" applyFill="1" applyBorder="1" applyAlignment="1">
      <alignment horizontal="center" vertical="center" wrapText="1"/>
    </xf>
    <xf numFmtId="0" fontId="72" fillId="12" borderId="45" xfId="0" applyFont="1" applyFill="1" applyBorder="1" applyAlignment="1">
      <alignment horizontal="center" vertical="center" wrapText="1"/>
    </xf>
    <xf numFmtId="0" fontId="93" fillId="12" borderId="15" xfId="0" applyFont="1" applyFill="1" applyBorder="1" applyAlignment="1">
      <alignment horizontal="center" vertical="center" wrapText="1"/>
    </xf>
    <xf numFmtId="0" fontId="93" fillId="12" borderId="41" xfId="0" applyFont="1" applyFill="1" applyBorder="1" applyAlignment="1">
      <alignment horizontal="center" vertical="center" wrapText="1"/>
    </xf>
    <xf numFmtId="0" fontId="93" fillId="12" borderId="44" xfId="0" applyFont="1" applyFill="1" applyBorder="1" applyAlignment="1">
      <alignment horizontal="center" vertical="center" wrapText="1"/>
    </xf>
    <xf numFmtId="0" fontId="58" fillId="0" borderId="1" xfId="0" applyFont="1" applyBorder="1" applyAlignment="1">
      <alignment horizontal="center"/>
    </xf>
    <xf numFmtId="0" fontId="48" fillId="9" borderId="2" xfId="0" applyFont="1" applyFill="1" applyBorder="1" applyAlignment="1">
      <alignment horizontal="center"/>
    </xf>
    <xf numFmtId="0" fontId="48" fillId="9" borderId="13" xfId="0" applyFont="1" applyFill="1" applyBorder="1" applyAlignment="1">
      <alignment horizontal="center"/>
    </xf>
    <xf numFmtId="167" fontId="46" fillId="8" borderId="59" xfId="56" applyNumberFormat="1" applyFont="1" applyFill="1" applyBorder="1" applyAlignment="1">
      <alignment horizontal="center" vertical="center"/>
    </xf>
    <xf numFmtId="0" fontId="48" fillId="9" borderId="2" xfId="16" applyFont="1" applyFill="1" applyBorder="1" applyAlignment="1">
      <alignment horizontal="center" vertical="center"/>
    </xf>
    <xf numFmtId="0" fontId="48" fillId="9" borderId="13" xfId="16" applyFont="1" applyFill="1" applyBorder="1" applyAlignment="1">
      <alignment horizontal="center" vertical="center"/>
    </xf>
    <xf numFmtId="167" fontId="46" fillId="8" borderId="58" xfId="56" applyNumberFormat="1" applyFont="1" applyFill="1" applyBorder="1" applyAlignment="1">
      <alignment horizontal="center" vertical="center"/>
    </xf>
    <xf numFmtId="167" fontId="46" fillId="8" borderId="38" xfId="56" applyNumberFormat="1" applyFont="1" applyFill="1" applyBorder="1" applyAlignment="1">
      <alignment horizontal="center" vertical="center"/>
    </xf>
    <xf numFmtId="167" fontId="46" fillId="8" borderId="60" xfId="56" applyNumberFormat="1" applyFont="1" applyFill="1" applyBorder="1" applyAlignment="1">
      <alignment horizontal="center" vertical="center"/>
    </xf>
    <xf numFmtId="167" fontId="46" fillId="8" borderId="61" xfId="56" applyNumberFormat="1" applyFont="1" applyFill="1" applyBorder="1" applyAlignment="1">
      <alignment horizontal="center" vertical="center"/>
    </xf>
    <xf numFmtId="167" fontId="46" fillId="8" borderId="62" xfId="56" applyNumberFormat="1" applyFont="1" applyFill="1" applyBorder="1" applyAlignment="1">
      <alignment horizontal="center" vertical="center"/>
    </xf>
    <xf numFmtId="167" fontId="46" fillId="8" borderId="53" xfId="56" applyNumberFormat="1" applyFont="1" applyFill="1" applyBorder="1" applyAlignment="1">
      <alignment horizontal="center" vertical="center"/>
    </xf>
    <xf numFmtId="167" fontId="46" fillId="8" borderId="17" xfId="56" applyNumberFormat="1" applyFont="1" applyFill="1" applyBorder="1" applyAlignment="1">
      <alignment horizontal="center" vertical="center"/>
    </xf>
    <xf numFmtId="167" fontId="46" fillId="8" borderId="57" xfId="56" applyNumberFormat="1" applyFont="1" applyFill="1" applyBorder="1" applyAlignment="1">
      <alignment horizontal="center" vertical="center"/>
    </xf>
    <xf numFmtId="167" fontId="46" fillId="8" borderId="27" xfId="56" applyNumberFormat="1" applyFont="1" applyFill="1" applyBorder="1" applyAlignment="1">
      <alignment horizontal="center" vertical="center"/>
    </xf>
    <xf numFmtId="167" fontId="46" fillId="8" borderId="24" xfId="56" applyNumberFormat="1" applyFont="1" applyFill="1" applyBorder="1" applyAlignment="1">
      <alignment horizontal="center" vertical="center"/>
    </xf>
    <xf numFmtId="167" fontId="46" fillId="8" borderId="25" xfId="56" applyNumberFormat="1" applyFont="1" applyFill="1" applyBorder="1" applyAlignment="1">
      <alignment horizontal="center" vertical="center"/>
    </xf>
    <xf numFmtId="167" fontId="46" fillId="8" borderId="46" xfId="56" applyNumberFormat="1" applyFont="1" applyFill="1" applyBorder="1" applyAlignment="1">
      <alignment horizontal="center" vertical="center"/>
    </xf>
    <xf numFmtId="167" fontId="46" fillId="8" borderId="28" xfId="56" applyNumberFormat="1" applyFont="1" applyFill="1" applyBorder="1" applyAlignment="1">
      <alignment horizontal="center" vertical="center"/>
    </xf>
    <xf numFmtId="167" fontId="46" fillId="8" borderId="47" xfId="56" applyNumberFormat="1" applyFont="1" applyFill="1" applyBorder="1" applyAlignment="1">
      <alignment horizontal="center" vertical="center"/>
    </xf>
    <xf numFmtId="0" fontId="57" fillId="14" borderId="63" xfId="16" applyFont="1" applyFill="1" applyBorder="1" applyAlignment="1">
      <alignment horizontal="center" vertical="center"/>
    </xf>
    <xf numFmtId="0" fontId="57" fillId="14" borderId="11" xfId="16" applyFont="1" applyFill="1" applyBorder="1" applyAlignment="1">
      <alignment horizontal="center" vertical="center"/>
    </xf>
    <xf numFmtId="167" fontId="46" fillId="8" borderId="11" xfId="56" applyNumberFormat="1" applyFont="1" applyFill="1" applyBorder="1" applyAlignment="1">
      <alignment horizontal="center" vertical="center"/>
    </xf>
    <xf numFmtId="167" fontId="46" fillId="8" borderId="1" xfId="56" applyNumberFormat="1" applyFont="1" applyFill="1" applyBorder="1" applyAlignment="1">
      <alignment horizontal="center" vertical="center"/>
    </xf>
    <xf numFmtId="167" fontId="46" fillId="8" borderId="19" xfId="56" applyNumberFormat="1" applyFont="1" applyFill="1" applyBorder="1" applyAlignment="1">
      <alignment horizontal="center" vertical="center"/>
    </xf>
    <xf numFmtId="167" fontId="46" fillId="8" borderId="63" xfId="56" applyNumberFormat="1" applyFont="1" applyFill="1" applyBorder="1" applyAlignment="1">
      <alignment horizontal="center" vertical="center"/>
    </xf>
    <xf numFmtId="167" fontId="46" fillId="8" borderId="49" xfId="56" applyNumberFormat="1" applyFont="1" applyFill="1" applyBorder="1" applyAlignment="1">
      <alignment horizontal="center" vertical="center"/>
    </xf>
    <xf numFmtId="167" fontId="46" fillId="8" borderId="52" xfId="56" applyNumberFormat="1" applyFont="1" applyFill="1" applyBorder="1" applyAlignment="1">
      <alignment horizontal="center" vertical="center"/>
    </xf>
    <xf numFmtId="0" fontId="97" fillId="12" borderId="23" xfId="16" applyFont="1" applyFill="1" applyBorder="1" applyAlignment="1">
      <alignment horizontal="center" vertical="center"/>
    </xf>
    <xf numFmtId="0" fontId="72" fillId="12" borderId="22" xfId="16" applyFont="1" applyFill="1" applyBorder="1" applyAlignment="1">
      <alignment horizontal="center" vertical="center"/>
    </xf>
    <xf numFmtId="0" fontId="48" fillId="16" borderId="2" xfId="16" applyFont="1" applyFill="1" applyBorder="1" applyAlignment="1">
      <alignment horizontal="center" vertical="center"/>
    </xf>
    <xf numFmtId="0" fontId="48" fillId="16" borderId="13" xfId="16" applyFont="1" applyFill="1" applyBorder="1" applyAlignment="1">
      <alignment horizontal="center" vertical="center"/>
    </xf>
    <xf numFmtId="0" fontId="48" fillId="16" borderId="1" xfId="16" applyFont="1" applyFill="1" applyBorder="1" applyAlignment="1">
      <alignment horizontal="center" vertical="center"/>
    </xf>
    <xf numFmtId="0" fontId="69" fillId="12" borderId="2" xfId="0" applyFont="1" applyFill="1" applyBorder="1" applyAlignment="1">
      <alignment horizontal="center" vertical="center" wrapText="1"/>
    </xf>
    <xf numFmtId="0" fontId="69" fillId="12" borderId="14" xfId="0" applyFont="1" applyFill="1" applyBorder="1" applyAlignment="1">
      <alignment horizontal="center" vertical="center" wrapText="1"/>
    </xf>
    <xf numFmtId="0" fontId="69" fillId="12" borderId="13" xfId="0" applyFont="1" applyFill="1" applyBorder="1" applyAlignment="1">
      <alignment horizontal="center" vertical="center" wrapText="1"/>
    </xf>
    <xf numFmtId="0" fontId="93" fillId="12" borderId="2" xfId="0" applyFont="1" applyFill="1" applyBorder="1" applyAlignment="1">
      <alignment horizontal="center" vertical="center" wrapText="1"/>
    </xf>
    <xf numFmtId="0" fontId="93" fillId="12" borderId="14" xfId="0" applyFont="1" applyFill="1" applyBorder="1" applyAlignment="1">
      <alignment horizontal="center" vertical="center" wrapText="1"/>
    </xf>
    <xf numFmtId="0" fontId="93" fillId="12" borderId="13" xfId="0" applyFont="1" applyFill="1" applyBorder="1" applyAlignment="1">
      <alignment horizontal="center" vertical="center" wrapText="1"/>
    </xf>
    <xf numFmtId="0" fontId="69" fillId="11" borderId="2" xfId="0" applyFont="1" applyFill="1" applyBorder="1" applyAlignment="1">
      <alignment horizontal="center" vertical="center" wrapText="1"/>
    </xf>
    <xf numFmtId="0" fontId="69" fillId="11" borderId="14" xfId="0" applyFont="1" applyFill="1" applyBorder="1" applyAlignment="1">
      <alignment horizontal="center" vertical="center" wrapText="1"/>
    </xf>
    <xf numFmtId="0" fontId="69" fillId="11" borderId="13" xfId="0" applyFont="1" applyFill="1" applyBorder="1" applyAlignment="1">
      <alignment horizontal="center" vertical="center" wrapText="1"/>
    </xf>
    <xf numFmtId="0" fontId="93" fillId="11" borderId="2" xfId="0" applyFont="1" applyFill="1" applyBorder="1" applyAlignment="1">
      <alignment horizontal="center" vertical="center" wrapText="1"/>
    </xf>
    <xf numFmtId="0" fontId="93" fillId="11" borderId="14" xfId="0" applyFont="1" applyFill="1" applyBorder="1" applyAlignment="1">
      <alignment horizontal="center" vertical="center" wrapText="1"/>
    </xf>
    <xf numFmtId="0" fontId="93" fillId="11" borderId="13"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6" fillId="10" borderId="44" xfId="0" applyFont="1" applyFill="1" applyBorder="1" applyAlignment="1">
      <alignment horizontal="center" vertical="center" wrapText="1"/>
    </xf>
    <xf numFmtId="0" fontId="98" fillId="12" borderId="10" xfId="0" applyFont="1" applyFill="1" applyBorder="1" applyAlignment="1">
      <alignment horizontal="center" vertical="center" wrapText="1"/>
    </xf>
    <xf numFmtId="0" fontId="98" fillId="12" borderId="0" xfId="0" applyFont="1" applyFill="1" applyAlignment="1">
      <alignment horizontal="center" vertical="center" wrapText="1"/>
    </xf>
    <xf numFmtId="0" fontId="98" fillId="12" borderId="28" xfId="0" applyFont="1" applyFill="1" applyBorder="1" applyAlignment="1">
      <alignment horizontal="center" vertical="center" wrapText="1"/>
    </xf>
    <xf numFmtId="0" fontId="98" fillId="14" borderId="10" xfId="0" applyFont="1" applyFill="1" applyBorder="1" applyAlignment="1">
      <alignment horizontal="center" vertical="center" wrapText="1"/>
    </xf>
    <xf numFmtId="0" fontId="98" fillId="14" borderId="0" xfId="0" applyFont="1" applyFill="1" applyAlignment="1">
      <alignment horizontal="center" vertical="center" wrapText="1"/>
    </xf>
    <xf numFmtId="0" fontId="98" fillId="14" borderId="28"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6" fillId="10" borderId="42" xfId="0" applyFont="1" applyFill="1" applyBorder="1" applyAlignment="1">
      <alignment horizontal="center" vertical="center" wrapText="1"/>
    </xf>
    <xf numFmtId="0" fontId="16" fillId="10" borderId="45" xfId="0" applyFont="1" applyFill="1" applyBorder="1" applyAlignment="1">
      <alignment horizontal="center" vertical="center" wrapText="1"/>
    </xf>
    <xf numFmtId="39" fontId="48" fillId="12" borderId="16" xfId="56" applyNumberFormat="1" applyFont="1" applyFill="1" applyBorder="1" applyAlignment="1">
      <alignment horizontal="center" vertical="center" wrapText="1"/>
    </xf>
    <xf numFmtId="39" fontId="48" fillId="12" borderId="17" xfId="56" applyNumberFormat="1" applyFont="1" applyFill="1" applyBorder="1" applyAlignment="1">
      <alignment horizontal="center" vertical="center" wrapText="1"/>
    </xf>
    <xf numFmtId="39" fontId="48" fillId="12" borderId="11" xfId="56" applyNumberFormat="1" applyFont="1" applyFill="1" applyBorder="1" applyAlignment="1">
      <alignment horizontal="center" vertical="center" wrapText="1"/>
    </xf>
    <xf numFmtId="39" fontId="48" fillId="12" borderId="2" xfId="56" applyNumberFormat="1" applyFont="1" applyFill="1" applyBorder="1" applyAlignment="1">
      <alignment horizontal="center" vertical="center"/>
    </xf>
    <xf numFmtId="39" fontId="48" fillId="12" borderId="14" xfId="56" applyNumberFormat="1" applyFont="1" applyFill="1" applyBorder="1" applyAlignment="1">
      <alignment horizontal="center" vertical="center"/>
    </xf>
    <xf numFmtId="39" fontId="48" fillId="12" borderId="13" xfId="56" applyNumberFormat="1" applyFont="1" applyFill="1" applyBorder="1" applyAlignment="1">
      <alignment horizontal="center" vertical="center"/>
    </xf>
    <xf numFmtId="0" fontId="56" fillId="8" borderId="29" xfId="18" applyFont="1" applyFill="1" applyBorder="1" applyAlignment="1">
      <alignment horizontal="center" vertical="center"/>
    </xf>
    <xf numFmtId="0" fontId="56" fillId="8" borderId="30" xfId="18" applyFont="1" applyFill="1" applyBorder="1" applyAlignment="1">
      <alignment horizontal="center" vertical="center"/>
    </xf>
    <xf numFmtId="0" fontId="56" fillId="8" borderId="31" xfId="18" applyFont="1" applyFill="1" applyBorder="1" applyAlignment="1">
      <alignment horizontal="center" vertical="center"/>
    </xf>
    <xf numFmtId="0" fontId="24" fillId="0" borderId="7" xfId="18" applyFont="1" applyBorder="1" applyAlignment="1">
      <alignment horizontal="center" wrapText="1"/>
    </xf>
    <xf numFmtId="0" fontId="24" fillId="0" borderId="8" xfId="18" applyFont="1" applyBorder="1" applyAlignment="1">
      <alignment horizontal="center" wrapText="1"/>
    </xf>
    <xf numFmtId="0" fontId="24" fillId="0" borderId="9" xfId="18" applyFont="1" applyBorder="1" applyAlignment="1">
      <alignment horizontal="center" wrapText="1"/>
    </xf>
    <xf numFmtId="0" fontId="53" fillId="21" borderId="1" xfId="0" applyFont="1" applyFill="1" applyBorder="1" applyAlignment="1">
      <alignment horizontal="center" wrapText="1"/>
    </xf>
    <xf numFmtId="0" fontId="76" fillId="0" borderId="16" xfId="18" applyFont="1" applyBorder="1" applyAlignment="1">
      <alignment horizontal="center" vertical="center" wrapText="1"/>
    </xf>
    <xf numFmtId="0" fontId="76" fillId="0" borderId="11" xfId="18" applyFont="1" applyBorder="1" applyAlignment="1">
      <alignment horizontal="center" vertical="center" wrapText="1"/>
    </xf>
    <xf numFmtId="0" fontId="76" fillId="0" borderId="1" xfId="18" applyFont="1" applyBorder="1" applyAlignment="1">
      <alignment horizontal="center" vertical="center" wrapText="1"/>
    </xf>
    <xf numFmtId="0" fontId="76" fillId="0" borderId="1" xfId="18" applyFont="1" applyBorder="1" applyAlignment="1">
      <alignment horizontal="center" vertical="center"/>
    </xf>
    <xf numFmtId="0" fontId="76" fillId="0" borderId="17" xfId="18" applyFont="1" applyBorder="1" applyAlignment="1">
      <alignment horizontal="center" vertical="center" wrapText="1"/>
    </xf>
    <xf numFmtId="0" fontId="74" fillId="0" borderId="0" xfId="18" applyFont="1" applyAlignment="1">
      <alignment horizontal="center" vertical="center"/>
    </xf>
    <xf numFmtId="0" fontId="76" fillId="0" borderId="2" xfId="18" applyFont="1" applyBorder="1" applyAlignment="1">
      <alignment horizontal="center" vertical="center" wrapText="1"/>
    </xf>
    <xf numFmtId="0" fontId="76" fillId="0" borderId="14" xfId="18" applyFont="1" applyBorder="1" applyAlignment="1">
      <alignment horizontal="center" vertical="center" wrapText="1"/>
    </xf>
    <xf numFmtId="0" fontId="76" fillId="0" borderId="13" xfId="18" applyFont="1" applyBorder="1" applyAlignment="1">
      <alignment horizontal="center" vertical="center" wrapText="1"/>
    </xf>
    <xf numFmtId="0" fontId="86" fillId="0" borderId="0" xfId="18" applyFont="1" applyAlignment="1">
      <alignment horizontal="center" vertical="center" wrapText="1"/>
    </xf>
    <xf numFmtId="0" fontId="76" fillId="2" borderId="16" xfId="18" applyFont="1" applyFill="1" applyBorder="1" applyAlignment="1">
      <alignment horizontal="center" vertical="center" wrapText="1"/>
    </xf>
    <xf numFmtId="0" fontId="76" fillId="2" borderId="17" xfId="18" applyFont="1" applyFill="1" applyBorder="1" applyAlignment="1">
      <alignment horizontal="center" vertical="center" wrapText="1"/>
    </xf>
    <xf numFmtId="0" fontId="76" fillId="2" borderId="11" xfId="18" applyFont="1" applyFill="1" applyBorder="1" applyAlignment="1">
      <alignment horizontal="center" vertical="center" wrapText="1"/>
    </xf>
    <xf numFmtId="0" fontId="74" fillId="0" borderId="10" xfId="18" applyFont="1" applyBorder="1" applyAlignment="1">
      <alignment horizontal="center" vertical="center"/>
    </xf>
    <xf numFmtId="0" fontId="81" fillId="10" borderId="2" xfId="0" applyFont="1" applyFill="1" applyBorder="1" applyAlignment="1">
      <alignment horizontal="center" vertical="center" wrapText="1"/>
    </xf>
    <xf numFmtId="0" fontId="81" fillId="10" borderId="13" xfId="0" applyFont="1" applyFill="1" applyBorder="1" applyAlignment="1">
      <alignment horizontal="center" vertical="center" wrapText="1"/>
    </xf>
    <xf numFmtId="0" fontId="81" fillId="10" borderId="1" xfId="0" applyFont="1" applyFill="1" applyBorder="1" applyAlignment="1">
      <alignment horizontal="center" vertical="center" wrapText="1"/>
    </xf>
  </cellXfs>
  <cellStyles count="78">
    <cellStyle name="Hiperlink" xfId="1" builtinId="8"/>
    <cellStyle name="Moeda" xfId="2" builtinId="4"/>
    <cellStyle name="Moeda 2" xfId="3" xr:uid="{00000000-0005-0000-0000-000002000000}"/>
    <cellStyle name="Moeda 2 2" xfId="4" xr:uid="{00000000-0005-0000-0000-000003000000}"/>
    <cellStyle name="Moeda 2 2 2" xfId="5" xr:uid="{00000000-0005-0000-0000-000004000000}"/>
    <cellStyle name="Moeda 2 3" xfId="6" xr:uid="{00000000-0005-0000-0000-000005000000}"/>
    <cellStyle name="Moeda 2 3 2" xfId="7" xr:uid="{00000000-0005-0000-0000-000006000000}"/>
    <cellStyle name="Moeda 2 4" xfId="8" xr:uid="{00000000-0005-0000-0000-000007000000}"/>
    <cellStyle name="Moeda 3" xfId="9" xr:uid="{00000000-0005-0000-0000-000008000000}"/>
    <cellStyle name="Moeda 3 2" xfId="10" xr:uid="{00000000-0005-0000-0000-000009000000}"/>
    <cellStyle name="Moeda 4" xfId="11" xr:uid="{00000000-0005-0000-0000-00000A000000}"/>
    <cellStyle name="Moeda 4 2" xfId="12" xr:uid="{00000000-0005-0000-0000-00000B000000}"/>
    <cellStyle name="Moeda 5" xfId="13" xr:uid="{00000000-0005-0000-0000-00000C000000}"/>
    <cellStyle name="Moeda 5 2" xfId="14" xr:uid="{00000000-0005-0000-0000-00000D000000}"/>
    <cellStyle name="Moeda 6" xfId="15" xr:uid="{00000000-0005-0000-0000-00000E000000}"/>
    <cellStyle name="Normal" xfId="0" builtinId="0"/>
    <cellStyle name="Normal 2" xfId="16" xr:uid="{00000000-0005-0000-0000-000010000000}"/>
    <cellStyle name="Normal 2 2" xfId="17" xr:uid="{00000000-0005-0000-0000-000011000000}"/>
    <cellStyle name="Normal 2 2 2" xfId="18" xr:uid="{00000000-0005-0000-0000-000012000000}"/>
    <cellStyle name="Normal 2 2 2 2" xfId="19" xr:uid="{00000000-0005-0000-0000-000013000000}"/>
    <cellStyle name="Normal 2 2 3" xfId="20" xr:uid="{00000000-0005-0000-0000-000014000000}"/>
    <cellStyle name="Normal 2 3" xfId="21" xr:uid="{00000000-0005-0000-0000-000015000000}"/>
    <cellStyle name="Normal 3" xfId="22" xr:uid="{00000000-0005-0000-0000-000016000000}"/>
    <cellStyle name="Normal 3 2" xfId="23" xr:uid="{00000000-0005-0000-0000-000017000000}"/>
    <cellStyle name="Normal 3 2 2" xfId="24" xr:uid="{00000000-0005-0000-0000-000018000000}"/>
    <cellStyle name="Normal 3 3" xfId="25" xr:uid="{00000000-0005-0000-0000-000019000000}"/>
    <cellStyle name="Normal 4" xfId="26" xr:uid="{00000000-0005-0000-0000-00001A000000}"/>
    <cellStyle name="Normal 4 2" xfId="27" xr:uid="{00000000-0005-0000-0000-00001B000000}"/>
    <cellStyle name="Normal 5" xfId="28" xr:uid="{00000000-0005-0000-0000-00001C000000}"/>
    <cellStyle name="Normal 6" xfId="29" xr:uid="{00000000-0005-0000-0000-00001D000000}"/>
    <cellStyle name="Porcentagem" xfId="30" builtinId="5"/>
    <cellStyle name="Porcentagem 10" xfId="31" xr:uid="{00000000-0005-0000-0000-00001F000000}"/>
    <cellStyle name="Porcentagem 2" xfId="32" xr:uid="{00000000-0005-0000-0000-000020000000}"/>
    <cellStyle name="Porcentagem 2 2" xfId="33" xr:uid="{00000000-0005-0000-0000-000021000000}"/>
    <cellStyle name="Porcentagem 2 2 2" xfId="34" xr:uid="{00000000-0005-0000-0000-000022000000}"/>
    <cellStyle name="Porcentagem 2 3" xfId="35" xr:uid="{00000000-0005-0000-0000-000023000000}"/>
    <cellStyle name="Porcentagem 3" xfId="36" xr:uid="{00000000-0005-0000-0000-000024000000}"/>
    <cellStyle name="Porcentagem 3 2" xfId="37" xr:uid="{00000000-0005-0000-0000-000025000000}"/>
    <cellStyle name="Porcentagem 3 2 2" xfId="38" xr:uid="{00000000-0005-0000-0000-000026000000}"/>
    <cellStyle name="Porcentagem 3 3" xfId="39" xr:uid="{00000000-0005-0000-0000-000027000000}"/>
    <cellStyle name="Porcentagem 4" xfId="40" xr:uid="{00000000-0005-0000-0000-000028000000}"/>
    <cellStyle name="Porcentagem 4 2" xfId="41" xr:uid="{00000000-0005-0000-0000-000029000000}"/>
    <cellStyle name="Porcentagem 5" xfId="42" xr:uid="{00000000-0005-0000-0000-00002A000000}"/>
    <cellStyle name="Porcentagem 5 2" xfId="43" xr:uid="{00000000-0005-0000-0000-00002B000000}"/>
    <cellStyle name="Porcentagem 5 2 2" xfId="44" xr:uid="{00000000-0005-0000-0000-00002C000000}"/>
    <cellStyle name="Porcentagem 5 3" xfId="45" xr:uid="{00000000-0005-0000-0000-00002D000000}"/>
    <cellStyle name="Porcentagem 6" xfId="46" xr:uid="{00000000-0005-0000-0000-00002E000000}"/>
    <cellStyle name="Porcentagem 6 2" xfId="47" xr:uid="{00000000-0005-0000-0000-00002F000000}"/>
    <cellStyle name="Porcentagem 7" xfId="48" xr:uid="{00000000-0005-0000-0000-000030000000}"/>
    <cellStyle name="Porcentagem 7 2" xfId="49" xr:uid="{00000000-0005-0000-0000-000031000000}"/>
    <cellStyle name="Porcentagem 8" xfId="50" xr:uid="{00000000-0005-0000-0000-000032000000}"/>
    <cellStyle name="Porcentagem 8 2" xfId="51" xr:uid="{00000000-0005-0000-0000-000033000000}"/>
    <cellStyle name="Porcentagem 9" xfId="52" xr:uid="{00000000-0005-0000-0000-000034000000}"/>
    <cellStyle name="Porcentagem 9 2" xfId="53" xr:uid="{00000000-0005-0000-0000-000035000000}"/>
    <cellStyle name="Vírgula" xfId="54" builtinId="3"/>
    <cellStyle name="Vírgula 10" xfId="55" xr:uid="{00000000-0005-0000-0000-000037000000}"/>
    <cellStyle name="Vírgula 2" xfId="56" xr:uid="{00000000-0005-0000-0000-000038000000}"/>
    <cellStyle name="Vírgula 2 2" xfId="57" xr:uid="{00000000-0005-0000-0000-000039000000}"/>
    <cellStyle name="Vírgula 2 2 2" xfId="58" xr:uid="{00000000-0005-0000-0000-00003A000000}"/>
    <cellStyle name="Vírgula 2 3" xfId="59" xr:uid="{00000000-0005-0000-0000-00003B000000}"/>
    <cellStyle name="Vírgula 3" xfId="60" xr:uid="{00000000-0005-0000-0000-00003C000000}"/>
    <cellStyle name="Vírgula 3 2" xfId="61" xr:uid="{00000000-0005-0000-0000-00003D000000}"/>
    <cellStyle name="Vírgula 4" xfId="62" xr:uid="{00000000-0005-0000-0000-00003E000000}"/>
    <cellStyle name="Vírgula 4 2" xfId="63" xr:uid="{00000000-0005-0000-0000-00003F000000}"/>
    <cellStyle name="Vírgula 5" xfId="64" xr:uid="{00000000-0005-0000-0000-000040000000}"/>
    <cellStyle name="Vírgula 5 2" xfId="65" xr:uid="{00000000-0005-0000-0000-000041000000}"/>
    <cellStyle name="Vírgula 5 2 2" xfId="66" xr:uid="{00000000-0005-0000-0000-000042000000}"/>
    <cellStyle name="Vírgula 5 3" xfId="67" xr:uid="{00000000-0005-0000-0000-000043000000}"/>
    <cellStyle name="Vírgula 5 3 2" xfId="68" xr:uid="{00000000-0005-0000-0000-000044000000}"/>
    <cellStyle name="Vírgula 5 4" xfId="69" xr:uid="{00000000-0005-0000-0000-000045000000}"/>
    <cellStyle name="Vírgula 6" xfId="70" xr:uid="{00000000-0005-0000-0000-000046000000}"/>
    <cellStyle name="Vírgula 6 2" xfId="71" xr:uid="{00000000-0005-0000-0000-000047000000}"/>
    <cellStyle name="Vírgula 7" xfId="72" xr:uid="{00000000-0005-0000-0000-000048000000}"/>
    <cellStyle name="Vírgula 7 2" xfId="73" xr:uid="{00000000-0005-0000-0000-000049000000}"/>
    <cellStyle name="Vírgula 8" xfId="74" xr:uid="{00000000-0005-0000-0000-00004A000000}"/>
    <cellStyle name="Vírgula 8 2" xfId="75" xr:uid="{00000000-0005-0000-0000-00004B000000}"/>
    <cellStyle name="Vírgula 9" xfId="76" xr:uid="{00000000-0005-0000-0000-00004C000000}"/>
    <cellStyle name="Vírgula 9 2" xfId="77" xr:uid="{00000000-0005-0000-0000-00004D000000}"/>
  </cellStyles>
  <dxfs count="12">
    <dxf>
      <fill>
        <patternFill>
          <bgColor theme="8" tint="0.39994506668294322"/>
        </patternFill>
      </fill>
    </dxf>
    <dxf>
      <fill>
        <patternFill>
          <bgColor theme="5" tint="0.59996337778862885"/>
        </patternFill>
      </fill>
    </dxf>
    <dxf>
      <fill>
        <patternFill>
          <bgColor theme="6" tint="0.39994506668294322"/>
        </patternFill>
      </fill>
    </dxf>
    <dxf>
      <fill>
        <patternFill>
          <bgColor theme="7" tint="0.39994506668294322"/>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20212588421791"/>
          <c:y val="4.6405515924929447E-2"/>
          <c:w val="0.66277271045817254"/>
          <c:h val="0.75272120645936202"/>
        </c:manualLayout>
      </c:layout>
      <c:scatterChart>
        <c:scatterStyle val="lineMarker"/>
        <c:varyColors val="0"/>
        <c:ser>
          <c:idx val="0"/>
          <c:order val="0"/>
          <c:tx>
            <c:strRef>
              <c:f>'A.XV. RPS (Simplificado)'!$Q$17:$Q$19</c:f>
              <c:strCache>
                <c:ptCount val="3"/>
                <c:pt idx="0">
                  <c:v>Nível de Segurança 95%</c:v>
                </c:pt>
              </c:strCache>
            </c:strRef>
          </c:tx>
          <c:spPr>
            <a:ln w="28575">
              <a:noFill/>
            </a:ln>
          </c:spPr>
          <c:xVal>
            <c:numRef>
              <c:f>'A.XV. RPS (Simplificado)'!#REF!</c:f>
              <c:numCache>
                <c:formatCode>General</c:formatCode>
                <c:ptCount val="1"/>
                <c:pt idx="0">
                  <c:v>1</c:v>
                </c:pt>
              </c:numCache>
            </c:numRef>
          </c:xVal>
          <c:yVal>
            <c:numRef>
              <c:f>'A.XV. RPS (Simplificado)'!$T$17:$T$19</c:f>
              <c:numCache>
                <c:formatCode>0.000</c:formatCode>
                <c:ptCount val="3"/>
                <c:pt idx="0">
                  <c:v>5.0200000000000002E-2</c:v>
                </c:pt>
                <c:pt idx="1">
                  <c:v>7.3099999999999998E-2</c:v>
                </c:pt>
                <c:pt idx="2">
                  <c:v>0.12</c:v>
                </c:pt>
              </c:numCache>
            </c:numRef>
          </c:yVal>
          <c:smooth val="0"/>
          <c:extLst>
            <c:ext xmlns:c16="http://schemas.microsoft.com/office/drawing/2014/chart" uri="{C3380CC4-5D6E-409C-BE32-E72D297353CC}">
              <c16:uniqueId val="{00000000-D97C-43B0-BADE-55B7A9466A92}"/>
            </c:ext>
          </c:extLst>
        </c:ser>
        <c:ser>
          <c:idx val="1"/>
          <c:order val="1"/>
          <c:tx>
            <c:strRef>
              <c:f>'A.XV. RPS (Simplificado)'!$Q$20:$Q$22</c:f>
              <c:strCache>
                <c:ptCount val="3"/>
                <c:pt idx="0">
                  <c:v>Nível de Segurança 90%</c:v>
                </c:pt>
              </c:strCache>
            </c:strRef>
          </c:tx>
          <c:spPr>
            <a:ln w="28575">
              <a:noFill/>
            </a:ln>
          </c:spPr>
          <c:xVal>
            <c:numRef>
              <c:f>'A.XV. RPS (Simplificado)'!#REF!</c:f>
              <c:numCache>
                <c:formatCode>General</c:formatCode>
                <c:ptCount val="1"/>
                <c:pt idx="0">
                  <c:v>1</c:v>
                </c:pt>
              </c:numCache>
            </c:numRef>
          </c:xVal>
          <c:yVal>
            <c:numRef>
              <c:f>'A.XV. RPS (Simplificado)'!$T$20:$T$22</c:f>
              <c:numCache>
                <c:formatCode>0.000</c:formatCode>
                <c:ptCount val="3"/>
                <c:pt idx="0">
                  <c:v>3.9300000000000002E-2</c:v>
                </c:pt>
                <c:pt idx="1">
                  <c:v>5.7099999999999998E-2</c:v>
                </c:pt>
                <c:pt idx="2">
                  <c:v>9.3799999999999994E-2</c:v>
                </c:pt>
              </c:numCache>
            </c:numRef>
          </c:yVal>
          <c:smooth val="0"/>
          <c:extLst>
            <c:ext xmlns:c16="http://schemas.microsoft.com/office/drawing/2014/chart" uri="{C3380CC4-5D6E-409C-BE32-E72D297353CC}">
              <c16:uniqueId val="{00000001-D97C-43B0-BADE-55B7A9466A92}"/>
            </c:ext>
          </c:extLst>
        </c:ser>
        <c:ser>
          <c:idx val="3"/>
          <c:order val="2"/>
          <c:tx>
            <c:strRef>
              <c:f>'A.XV. RPS (Simplificado)'!$Q$23:$Q$25</c:f>
              <c:strCache>
                <c:ptCount val="3"/>
                <c:pt idx="0">
                  <c:v>Nível de Segurança 85%</c:v>
                </c:pt>
              </c:strCache>
            </c:strRef>
          </c:tx>
          <c:spPr>
            <a:ln w="28575">
              <a:noFill/>
            </a:ln>
          </c:spPr>
          <c:xVal>
            <c:numRef>
              <c:f>'A.XV. RPS (Simplificado)'!#REF!</c:f>
              <c:numCache>
                <c:formatCode>General</c:formatCode>
                <c:ptCount val="1"/>
                <c:pt idx="0">
                  <c:v>1</c:v>
                </c:pt>
              </c:numCache>
            </c:numRef>
          </c:xVal>
          <c:yVal>
            <c:numRef>
              <c:f>'A.XV. RPS (Simplificado)'!$T$23:$T$25</c:f>
              <c:numCache>
                <c:formatCode>0.000</c:formatCode>
                <c:ptCount val="3"/>
                <c:pt idx="0">
                  <c:v>3.15E-2</c:v>
                </c:pt>
                <c:pt idx="1">
                  <c:v>4.58E-2</c:v>
                </c:pt>
                <c:pt idx="2">
                  <c:v>7.5300000000000006E-2</c:v>
                </c:pt>
              </c:numCache>
            </c:numRef>
          </c:yVal>
          <c:smooth val="0"/>
          <c:extLst>
            <c:ext xmlns:c16="http://schemas.microsoft.com/office/drawing/2014/chart" uri="{C3380CC4-5D6E-409C-BE32-E72D297353CC}">
              <c16:uniqueId val="{00000002-D97C-43B0-BADE-55B7A9466A92}"/>
            </c:ext>
          </c:extLst>
        </c:ser>
        <c:dLbls>
          <c:showLegendKey val="0"/>
          <c:showVal val="0"/>
          <c:showCatName val="0"/>
          <c:showSerName val="0"/>
          <c:showPercent val="0"/>
          <c:showBubbleSize val="0"/>
        </c:dLbls>
        <c:axId val="1864721231"/>
        <c:axId val="1"/>
      </c:scatterChart>
      <c:valAx>
        <c:axId val="1864721231"/>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pt-BR"/>
                  <a:t>Risco a ser assumido (%)</a:t>
                </a:r>
              </a:p>
            </c:rich>
          </c:tx>
          <c:layout>
            <c:manualLayout>
              <c:xMode val="edge"/>
              <c:yMode val="edge"/>
              <c:x val="0.37509714438848296"/>
              <c:y val="0.90300962379702543"/>
            </c:manualLayout>
          </c:layout>
          <c:overlay val="0"/>
        </c:title>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
        <c:crosses val="autoZero"/>
        <c:crossBetween val="midCat"/>
      </c:valAx>
      <c:valAx>
        <c:axId val="1"/>
        <c:scaling>
          <c:orientation val="minMax"/>
          <c:max val="0.15000000000000002"/>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pt-BR"/>
                  <a:t>Coeficiente do RPS (Ɣ)</a:t>
                </a:r>
              </a:p>
            </c:rich>
          </c:tx>
          <c:overlay val="0"/>
        </c:title>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864721231"/>
        <c:crosses val="autoZero"/>
        <c:crossBetween val="midCat"/>
      </c:valAx>
    </c:plotArea>
    <c:legend>
      <c:legendPos val="r"/>
      <c:layout>
        <c:manualLayout>
          <c:xMode val="edge"/>
          <c:yMode val="edge"/>
          <c:x val="0.80723353274534382"/>
          <c:y val="0.30902230971128608"/>
          <c:w val="0.18381783358161308"/>
          <c:h val="0.37146387951506066"/>
        </c:manualLayout>
      </c:layout>
      <c:overlay val="0"/>
      <c:txPr>
        <a:bodyPr/>
        <a:lstStyle/>
        <a:p>
          <a:pPr>
            <a:defRPr sz="255" b="0" i="0" u="none" strike="noStrike" baseline="0">
              <a:solidFill>
                <a:srgbClr val="000000"/>
              </a:solidFill>
              <a:latin typeface="Calibri"/>
              <a:ea typeface="Calibri"/>
              <a:cs typeface="Calibri"/>
            </a:defRPr>
          </a:pPr>
          <a:endParaRPr lang="pt-B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trlProps/ctrlProp1.xml><?xml version="1.0" encoding="utf-8"?>
<formControlPr xmlns="http://schemas.microsoft.com/office/spreadsheetml/2009/9/main" objectType="Drop" dropLines="3" dropStyle="combo" dx="22" fmlaLink="$T$8" fmlaRange="$Q$11:$Q$13" sel="1" val="0"/>
</file>

<file path=xl/ctrlProps/ctrlProp10.xml><?xml version="1.0" encoding="utf-8"?>
<formControlPr xmlns="http://schemas.microsoft.com/office/spreadsheetml/2009/9/main" objectType="Drop" dropStyle="combo" dx="22" fmlaLink="$D$114" fmlaRange="$D$110:$D$113" noThreeD="1" sel="3" val="0"/>
</file>

<file path=xl/ctrlProps/ctrlProp11.xml><?xml version="1.0" encoding="utf-8"?>
<formControlPr xmlns="http://schemas.microsoft.com/office/spreadsheetml/2009/9/main" objectType="Drop" dropStyle="combo" dx="22" fmlaLink="$D$126" fmlaRange="$D$122:$D$125" noThreeD="1" sel="3" val="0"/>
</file>

<file path=xl/ctrlProps/ctrlProp12.xml><?xml version="1.0" encoding="utf-8"?>
<formControlPr xmlns="http://schemas.microsoft.com/office/spreadsheetml/2009/9/main" objectType="Drop" dropStyle="combo" dx="22" fmlaLink="$D$132" fmlaRange="$D$128:$D$131" noThreeD="1" sel="3" val="0"/>
</file>

<file path=xl/ctrlProps/ctrlProp13.xml><?xml version="1.0" encoding="utf-8"?>
<formControlPr xmlns="http://schemas.microsoft.com/office/spreadsheetml/2009/9/main" objectType="Drop" dropStyle="combo" dx="22" fmlaLink="$D$72" fmlaRange="$D$68:$D$71" noThreeD="1" sel="3" val="0"/>
</file>

<file path=xl/ctrlProps/ctrlProp14.xml><?xml version="1.0" encoding="utf-8"?>
<formControlPr xmlns="http://schemas.microsoft.com/office/spreadsheetml/2009/9/main" objectType="Drop" dropStyle="combo" dx="22" fmlaLink="$D$78" fmlaRange="$D$74:$D$77" noThreeD="1" sel="3" val="0"/>
</file>

<file path=xl/ctrlProps/ctrlProp15.xml><?xml version="1.0" encoding="utf-8"?>
<formControlPr xmlns="http://schemas.microsoft.com/office/spreadsheetml/2009/9/main" objectType="Drop" dropStyle="combo" dx="22" fmlaLink="$D$84" fmlaRange="$D$80:$D$83" noThreeD="1" sel="3" val="0"/>
</file>

<file path=xl/ctrlProps/ctrlProp16.xml><?xml version="1.0" encoding="utf-8"?>
<formControlPr xmlns="http://schemas.microsoft.com/office/spreadsheetml/2009/9/main" objectType="Drop" dropStyle="combo" dx="22" fmlaLink="$D$120" fmlaRange="$D$116:$D$119" noThreeD="1" sel="3" val="0"/>
</file>

<file path=xl/ctrlProps/ctrlProp17.xml><?xml version="1.0" encoding="utf-8"?>
<formControlPr xmlns="http://schemas.microsoft.com/office/spreadsheetml/2009/9/main" objectType="Drop" dropStyle="combo" dx="22" fmlaLink="$D$90" fmlaRange="$D$86:$D$89" noThreeD="1" sel="3" val="0"/>
</file>

<file path=xl/ctrlProps/ctrlProp18.xml><?xml version="1.0" encoding="utf-8"?>
<formControlPr xmlns="http://schemas.microsoft.com/office/spreadsheetml/2009/9/main" objectType="Drop" dropStyle="combo" dx="22" fmlaLink="$D$96" fmlaRange="$D$92:$D$95" noThreeD="1" sel="3" val="0"/>
</file>

<file path=xl/ctrlProps/ctrlProp19.xml><?xml version="1.0" encoding="utf-8"?>
<formControlPr xmlns="http://schemas.microsoft.com/office/spreadsheetml/2009/9/main" objectType="Drop" dropLines="4" dropStyle="combo" dx="22" fmlaLink="$L$21" fmlaRange="$H$25:$H$27" sel="1" val="0"/>
</file>

<file path=xl/ctrlProps/ctrlProp2.xml><?xml version="1.0" encoding="utf-8"?>
<formControlPr xmlns="http://schemas.microsoft.com/office/spreadsheetml/2009/9/main" objectType="Drop" dropStyle="combo" dx="22" fmlaLink="$D$36" fmlaRange="$D$32:$D$35" noThreeD="1" sel="3" val="0"/>
</file>

<file path=xl/ctrlProps/ctrlProp3.xml><?xml version="1.0" encoding="utf-8"?>
<formControlPr xmlns="http://schemas.microsoft.com/office/spreadsheetml/2009/9/main" objectType="Drop" dropStyle="combo" dx="22" fmlaLink="$D$42" fmlaRange="$D$38:$D$41" noThreeD="1" sel="3" val="0"/>
</file>

<file path=xl/ctrlProps/ctrlProp4.xml><?xml version="1.0" encoding="utf-8"?>
<formControlPr xmlns="http://schemas.microsoft.com/office/spreadsheetml/2009/9/main" objectType="Drop" dropStyle="combo" dx="22" fmlaLink="$D$48" fmlaRange="$D$44:$D$47" noThreeD="1" sel="3" val="0"/>
</file>

<file path=xl/ctrlProps/ctrlProp5.xml><?xml version="1.0" encoding="utf-8"?>
<formControlPr xmlns="http://schemas.microsoft.com/office/spreadsheetml/2009/9/main" objectType="Drop" dropStyle="combo" dx="22" fmlaLink="$D$60" fmlaRange="$D$56:$D$59" noThreeD="1" sel="3" val="0"/>
</file>

<file path=xl/ctrlProps/ctrlProp6.xml><?xml version="1.0" encoding="utf-8"?>
<formControlPr xmlns="http://schemas.microsoft.com/office/spreadsheetml/2009/9/main" objectType="Drop" dropStyle="combo" dx="22" fmlaLink="$D$54" fmlaRange="$D$50:$D$53" noThreeD="1" sel="3" val="0"/>
</file>

<file path=xl/ctrlProps/ctrlProp7.xml><?xml version="1.0" encoding="utf-8"?>
<formControlPr xmlns="http://schemas.microsoft.com/office/spreadsheetml/2009/9/main" objectType="Drop" dropStyle="combo" dx="22" fmlaLink="$D$66" fmlaRange="$D$62:$D$65" noThreeD="1" sel="3" val="0"/>
</file>

<file path=xl/ctrlProps/ctrlProp8.xml><?xml version="1.0" encoding="utf-8"?>
<formControlPr xmlns="http://schemas.microsoft.com/office/spreadsheetml/2009/9/main" objectType="Drop" dropStyle="combo" dx="22" fmlaLink="$D$102" fmlaRange="$D$98:$D$101" noThreeD="1" sel="3" val="0"/>
</file>

<file path=xl/ctrlProps/ctrlProp9.xml><?xml version="1.0" encoding="utf-8"?>
<formControlPr xmlns="http://schemas.microsoft.com/office/spreadsheetml/2009/9/main" objectType="Drop" dropStyle="combo" dx="22" fmlaLink="$D$108" fmlaRange="$D$104:$D$107"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0</xdr:row>
      <xdr:rowOff>28575</xdr:rowOff>
    </xdr:from>
    <xdr:to>
      <xdr:col>19</xdr:col>
      <xdr:colOff>257175</xdr:colOff>
      <xdr:row>29</xdr:row>
      <xdr:rowOff>152400</xdr:rowOff>
    </xdr:to>
    <xdr:pic>
      <xdr:nvPicPr>
        <xdr:cNvPr id="24031" name="Imagem 2">
          <a:extLst>
            <a:ext uri="{FF2B5EF4-FFF2-40B4-BE49-F238E27FC236}">
              <a16:creationId xmlns:a16="http://schemas.microsoft.com/office/drawing/2014/main" id="{00000000-0008-0000-0000-0000DF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0" y="28575"/>
          <a:ext cx="4305300" cy="592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7</xdr:row>
      <xdr:rowOff>9525</xdr:rowOff>
    </xdr:from>
    <xdr:to>
      <xdr:col>8</xdr:col>
      <xdr:colOff>581025</xdr:colOff>
      <xdr:row>25</xdr:row>
      <xdr:rowOff>47625</xdr:rowOff>
    </xdr:to>
    <xdr:graphicFrame macro="">
      <xdr:nvGraphicFramePr>
        <xdr:cNvPr id="35602" name="Gráfico 1">
          <a:extLst>
            <a:ext uri="{FF2B5EF4-FFF2-40B4-BE49-F238E27FC236}">
              <a16:creationId xmlns:a16="http://schemas.microsoft.com/office/drawing/2014/main" id="{00000000-0008-0000-2900-0000128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28</xdr:row>
          <xdr:rowOff>19050</xdr:rowOff>
        </xdr:from>
        <xdr:to>
          <xdr:col>1</xdr:col>
          <xdr:colOff>657225</xdr:colOff>
          <xdr:row>29</xdr:row>
          <xdr:rowOff>0</xdr:rowOff>
        </xdr:to>
        <xdr:sp macro="" textlink="">
          <xdr:nvSpPr>
            <xdr:cNvPr id="34817" name="Drop Down 1" hidden="1">
              <a:extLst>
                <a:ext uri="{63B3BB69-23CF-44E3-9099-C40C66FF867C}">
                  <a14:compatExt spid="_x0000_s34817"/>
                </a:ext>
                <a:ext uri="{FF2B5EF4-FFF2-40B4-BE49-F238E27FC236}">
                  <a16:creationId xmlns:a16="http://schemas.microsoft.com/office/drawing/2014/main" id="{00000000-0008-0000-2900-00000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xdr:colOff>
          <xdr:row>7</xdr:row>
          <xdr:rowOff>685800</xdr:rowOff>
        </xdr:from>
        <xdr:to>
          <xdr:col>10</xdr:col>
          <xdr:colOff>28575</xdr:colOff>
          <xdr:row>7</xdr:row>
          <xdr:rowOff>895350</xdr:rowOff>
        </xdr:to>
        <xdr:sp macro="" textlink="">
          <xdr:nvSpPr>
            <xdr:cNvPr id="35841" name="Drop Down 1" hidden="1">
              <a:extLst>
                <a:ext uri="{63B3BB69-23CF-44E3-9099-C40C66FF867C}">
                  <a14:compatExt spid="_x0000_s35841"/>
                </a:ext>
                <a:ext uri="{FF2B5EF4-FFF2-40B4-BE49-F238E27FC236}">
                  <a16:creationId xmlns:a16="http://schemas.microsoft.com/office/drawing/2014/main" id="{00000000-0008-0000-2A00-000001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685800</xdr:rowOff>
        </xdr:from>
        <xdr:to>
          <xdr:col>10</xdr:col>
          <xdr:colOff>28575</xdr:colOff>
          <xdr:row>8</xdr:row>
          <xdr:rowOff>895350</xdr:rowOff>
        </xdr:to>
        <xdr:sp macro="" textlink="">
          <xdr:nvSpPr>
            <xdr:cNvPr id="35842" name="Drop Down 2" hidden="1">
              <a:extLst>
                <a:ext uri="{63B3BB69-23CF-44E3-9099-C40C66FF867C}">
                  <a14:compatExt spid="_x0000_s35842"/>
                </a:ext>
                <a:ext uri="{FF2B5EF4-FFF2-40B4-BE49-F238E27FC236}">
                  <a16:creationId xmlns:a16="http://schemas.microsoft.com/office/drawing/2014/main" id="{00000000-0008-0000-2A00-00000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685800</xdr:rowOff>
        </xdr:from>
        <xdr:to>
          <xdr:col>10</xdr:col>
          <xdr:colOff>28575</xdr:colOff>
          <xdr:row>9</xdr:row>
          <xdr:rowOff>895350</xdr:rowOff>
        </xdr:to>
        <xdr:sp macro="" textlink="">
          <xdr:nvSpPr>
            <xdr:cNvPr id="35843" name="Drop Down 3" hidden="1">
              <a:extLst>
                <a:ext uri="{63B3BB69-23CF-44E3-9099-C40C66FF867C}">
                  <a14:compatExt spid="_x0000_s35843"/>
                </a:ext>
                <a:ext uri="{FF2B5EF4-FFF2-40B4-BE49-F238E27FC236}">
                  <a16:creationId xmlns:a16="http://schemas.microsoft.com/office/drawing/2014/main" id="{00000000-0008-0000-2A00-000003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11</xdr:row>
          <xdr:rowOff>685800</xdr:rowOff>
        </xdr:from>
        <xdr:to>
          <xdr:col>10</xdr:col>
          <xdr:colOff>28575</xdr:colOff>
          <xdr:row>11</xdr:row>
          <xdr:rowOff>895350</xdr:rowOff>
        </xdr:to>
        <xdr:sp macro="" textlink="">
          <xdr:nvSpPr>
            <xdr:cNvPr id="35844" name="Drop Down 4" hidden="1">
              <a:extLst>
                <a:ext uri="{63B3BB69-23CF-44E3-9099-C40C66FF867C}">
                  <a14:compatExt spid="_x0000_s35844"/>
                </a:ext>
                <a:ext uri="{FF2B5EF4-FFF2-40B4-BE49-F238E27FC236}">
                  <a16:creationId xmlns:a16="http://schemas.microsoft.com/office/drawing/2014/main" id="{00000000-0008-0000-2A00-000004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10</xdr:row>
          <xdr:rowOff>295275</xdr:rowOff>
        </xdr:from>
        <xdr:to>
          <xdr:col>10</xdr:col>
          <xdr:colOff>28575</xdr:colOff>
          <xdr:row>10</xdr:row>
          <xdr:rowOff>504825</xdr:rowOff>
        </xdr:to>
        <xdr:sp macro="" textlink="">
          <xdr:nvSpPr>
            <xdr:cNvPr id="35845" name="Drop Down 5" hidden="1">
              <a:extLst>
                <a:ext uri="{63B3BB69-23CF-44E3-9099-C40C66FF867C}">
                  <a14:compatExt spid="_x0000_s35845"/>
                </a:ext>
                <a:ext uri="{FF2B5EF4-FFF2-40B4-BE49-F238E27FC236}">
                  <a16:creationId xmlns:a16="http://schemas.microsoft.com/office/drawing/2014/main" id="{00000000-0008-0000-2A00-000005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13</xdr:row>
          <xdr:rowOff>9525</xdr:rowOff>
        </xdr:from>
        <xdr:to>
          <xdr:col>10</xdr:col>
          <xdr:colOff>28575</xdr:colOff>
          <xdr:row>13</xdr:row>
          <xdr:rowOff>200025</xdr:rowOff>
        </xdr:to>
        <xdr:sp macro="" textlink="">
          <xdr:nvSpPr>
            <xdr:cNvPr id="35846" name="Drop Down 6" hidden="1">
              <a:extLst>
                <a:ext uri="{63B3BB69-23CF-44E3-9099-C40C66FF867C}">
                  <a14:compatExt spid="_x0000_s35846"/>
                </a:ext>
                <a:ext uri="{FF2B5EF4-FFF2-40B4-BE49-F238E27FC236}">
                  <a16:creationId xmlns:a16="http://schemas.microsoft.com/office/drawing/2014/main" id="{00000000-0008-0000-2A00-000006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23</xdr:row>
          <xdr:rowOff>190500</xdr:rowOff>
        </xdr:from>
        <xdr:to>
          <xdr:col>10</xdr:col>
          <xdr:colOff>28575</xdr:colOff>
          <xdr:row>23</xdr:row>
          <xdr:rowOff>381000</xdr:rowOff>
        </xdr:to>
        <xdr:sp macro="" textlink="">
          <xdr:nvSpPr>
            <xdr:cNvPr id="35848" name="Drop Down 8" hidden="1">
              <a:extLst>
                <a:ext uri="{63B3BB69-23CF-44E3-9099-C40C66FF867C}">
                  <a14:compatExt spid="_x0000_s35848"/>
                </a:ext>
                <a:ext uri="{FF2B5EF4-FFF2-40B4-BE49-F238E27FC236}">
                  <a16:creationId xmlns:a16="http://schemas.microsoft.com/office/drawing/2014/main" id="{00000000-0008-0000-2A00-000008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24</xdr:row>
          <xdr:rowOff>361950</xdr:rowOff>
        </xdr:from>
        <xdr:to>
          <xdr:col>10</xdr:col>
          <xdr:colOff>28575</xdr:colOff>
          <xdr:row>24</xdr:row>
          <xdr:rowOff>571500</xdr:rowOff>
        </xdr:to>
        <xdr:sp macro="" textlink="">
          <xdr:nvSpPr>
            <xdr:cNvPr id="35850" name="Drop Down 10" hidden="1">
              <a:extLst>
                <a:ext uri="{63B3BB69-23CF-44E3-9099-C40C66FF867C}">
                  <a14:compatExt spid="_x0000_s35850"/>
                </a:ext>
                <a:ext uri="{FF2B5EF4-FFF2-40B4-BE49-F238E27FC236}">
                  <a16:creationId xmlns:a16="http://schemas.microsoft.com/office/drawing/2014/main" id="{00000000-0008-0000-2A00-00000A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25</xdr:row>
          <xdr:rowOff>381000</xdr:rowOff>
        </xdr:from>
        <xdr:to>
          <xdr:col>10</xdr:col>
          <xdr:colOff>28575</xdr:colOff>
          <xdr:row>25</xdr:row>
          <xdr:rowOff>590550</xdr:rowOff>
        </xdr:to>
        <xdr:sp macro="" textlink="">
          <xdr:nvSpPr>
            <xdr:cNvPr id="35852" name="Drop Down 12" hidden="1">
              <a:extLst>
                <a:ext uri="{63B3BB69-23CF-44E3-9099-C40C66FF867C}">
                  <a14:compatExt spid="_x0000_s35852"/>
                </a:ext>
                <a:ext uri="{FF2B5EF4-FFF2-40B4-BE49-F238E27FC236}">
                  <a16:creationId xmlns:a16="http://schemas.microsoft.com/office/drawing/2014/main" id="{00000000-0008-0000-2A00-00000C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27</xdr:row>
          <xdr:rowOff>171450</xdr:rowOff>
        </xdr:from>
        <xdr:to>
          <xdr:col>10</xdr:col>
          <xdr:colOff>28575</xdr:colOff>
          <xdr:row>27</xdr:row>
          <xdr:rowOff>381000</xdr:rowOff>
        </xdr:to>
        <xdr:sp macro="" textlink="">
          <xdr:nvSpPr>
            <xdr:cNvPr id="35853" name="Drop Down 13" hidden="1">
              <a:extLst>
                <a:ext uri="{63B3BB69-23CF-44E3-9099-C40C66FF867C}">
                  <a14:compatExt spid="_x0000_s35853"/>
                </a:ext>
                <a:ext uri="{FF2B5EF4-FFF2-40B4-BE49-F238E27FC236}">
                  <a16:creationId xmlns:a16="http://schemas.microsoft.com/office/drawing/2014/main" id="{00000000-0008-0000-2A00-00000D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28</xdr:row>
          <xdr:rowOff>323850</xdr:rowOff>
        </xdr:from>
        <xdr:to>
          <xdr:col>10</xdr:col>
          <xdr:colOff>28575</xdr:colOff>
          <xdr:row>28</xdr:row>
          <xdr:rowOff>533400</xdr:rowOff>
        </xdr:to>
        <xdr:sp macro="" textlink="">
          <xdr:nvSpPr>
            <xdr:cNvPr id="35858" name="Drop Down 18" hidden="1">
              <a:extLst>
                <a:ext uri="{63B3BB69-23CF-44E3-9099-C40C66FF867C}">
                  <a14:compatExt spid="_x0000_s35858"/>
                </a:ext>
                <a:ext uri="{FF2B5EF4-FFF2-40B4-BE49-F238E27FC236}">
                  <a16:creationId xmlns:a16="http://schemas.microsoft.com/office/drawing/2014/main" id="{00000000-0008-0000-2A00-00001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18</xdr:row>
          <xdr:rowOff>323850</xdr:rowOff>
        </xdr:from>
        <xdr:to>
          <xdr:col>10</xdr:col>
          <xdr:colOff>28575</xdr:colOff>
          <xdr:row>18</xdr:row>
          <xdr:rowOff>533400</xdr:rowOff>
        </xdr:to>
        <xdr:sp macro="" textlink="">
          <xdr:nvSpPr>
            <xdr:cNvPr id="35860" name="Drop Down 20" hidden="1">
              <a:extLst>
                <a:ext uri="{63B3BB69-23CF-44E3-9099-C40C66FF867C}">
                  <a14:compatExt spid="_x0000_s35860"/>
                </a:ext>
                <a:ext uri="{FF2B5EF4-FFF2-40B4-BE49-F238E27FC236}">
                  <a16:creationId xmlns:a16="http://schemas.microsoft.com/office/drawing/2014/main" id="{00000000-0008-0000-2A00-000014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19</xdr:row>
          <xdr:rowOff>428625</xdr:rowOff>
        </xdr:from>
        <xdr:to>
          <xdr:col>10</xdr:col>
          <xdr:colOff>28575</xdr:colOff>
          <xdr:row>19</xdr:row>
          <xdr:rowOff>638175</xdr:rowOff>
        </xdr:to>
        <xdr:sp macro="" textlink="">
          <xdr:nvSpPr>
            <xdr:cNvPr id="35861" name="Drop Down 21" hidden="1">
              <a:extLst>
                <a:ext uri="{63B3BB69-23CF-44E3-9099-C40C66FF867C}">
                  <a14:compatExt spid="_x0000_s35861"/>
                </a:ext>
                <a:ext uri="{FF2B5EF4-FFF2-40B4-BE49-F238E27FC236}">
                  <a16:creationId xmlns:a16="http://schemas.microsoft.com/office/drawing/2014/main" id="{00000000-0008-0000-2A00-000015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20</xdr:row>
          <xdr:rowOff>428625</xdr:rowOff>
        </xdr:from>
        <xdr:to>
          <xdr:col>10</xdr:col>
          <xdr:colOff>28575</xdr:colOff>
          <xdr:row>20</xdr:row>
          <xdr:rowOff>638175</xdr:rowOff>
        </xdr:to>
        <xdr:sp macro="" textlink="">
          <xdr:nvSpPr>
            <xdr:cNvPr id="35862" name="Drop Down 22" hidden="1">
              <a:extLst>
                <a:ext uri="{63B3BB69-23CF-44E3-9099-C40C66FF867C}">
                  <a14:compatExt spid="_x0000_s35862"/>
                </a:ext>
                <a:ext uri="{FF2B5EF4-FFF2-40B4-BE49-F238E27FC236}">
                  <a16:creationId xmlns:a16="http://schemas.microsoft.com/office/drawing/2014/main" id="{00000000-0008-0000-2A00-000016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26</xdr:row>
          <xdr:rowOff>247650</xdr:rowOff>
        </xdr:from>
        <xdr:to>
          <xdr:col>10</xdr:col>
          <xdr:colOff>28575</xdr:colOff>
          <xdr:row>26</xdr:row>
          <xdr:rowOff>457200</xdr:rowOff>
        </xdr:to>
        <xdr:sp macro="" textlink="">
          <xdr:nvSpPr>
            <xdr:cNvPr id="35863" name="Drop Down 23" hidden="1">
              <a:extLst>
                <a:ext uri="{63B3BB69-23CF-44E3-9099-C40C66FF867C}">
                  <a14:compatExt spid="_x0000_s35863"/>
                </a:ext>
                <a:ext uri="{FF2B5EF4-FFF2-40B4-BE49-F238E27FC236}">
                  <a16:creationId xmlns:a16="http://schemas.microsoft.com/office/drawing/2014/main" id="{00000000-0008-0000-2A00-000017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21</xdr:row>
          <xdr:rowOff>438150</xdr:rowOff>
        </xdr:from>
        <xdr:to>
          <xdr:col>10</xdr:col>
          <xdr:colOff>28575</xdr:colOff>
          <xdr:row>21</xdr:row>
          <xdr:rowOff>638175</xdr:rowOff>
        </xdr:to>
        <xdr:sp macro="" textlink="">
          <xdr:nvSpPr>
            <xdr:cNvPr id="35864" name="Drop Down 24" hidden="1">
              <a:extLst>
                <a:ext uri="{63B3BB69-23CF-44E3-9099-C40C66FF867C}">
                  <a14:compatExt spid="_x0000_s35864"/>
                </a:ext>
                <a:ext uri="{FF2B5EF4-FFF2-40B4-BE49-F238E27FC236}">
                  <a16:creationId xmlns:a16="http://schemas.microsoft.com/office/drawing/2014/main" id="{00000000-0008-0000-2A00-000018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22</xdr:row>
          <xdr:rowOff>428625</xdr:rowOff>
        </xdr:from>
        <xdr:to>
          <xdr:col>10</xdr:col>
          <xdr:colOff>28575</xdr:colOff>
          <xdr:row>22</xdr:row>
          <xdr:rowOff>638175</xdr:rowOff>
        </xdr:to>
        <xdr:sp macro="" textlink="">
          <xdr:nvSpPr>
            <xdr:cNvPr id="35865" name="Drop Down 25" hidden="1">
              <a:extLst>
                <a:ext uri="{63B3BB69-23CF-44E3-9099-C40C66FF867C}">
                  <a14:compatExt spid="_x0000_s35865"/>
                </a:ext>
                <a:ext uri="{FF2B5EF4-FFF2-40B4-BE49-F238E27FC236}">
                  <a16:creationId xmlns:a16="http://schemas.microsoft.com/office/drawing/2014/main" id="{00000000-0008-0000-2A00-000019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1</xdr:col>
          <xdr:colOff>657225</xdr:colOff>
          <xdr:row>24</xdr:row>
          <xdr:rowOff>47625</xdr:rowOff>
        </xdr:to>
        <xdr:sp macro="" textlink="">
          <xdr:nvSpPr>
            <xdr:cNvPr id="36865" name="Drop Down 1" hidden="1">
              <a:extLst>
                <a:ext uri="{63B3BB69-23CF-44E3-9099-C40C66FF867C}">
                  <a14:compatExt spid="_x0000_s36865"/>
                </a:ext>
                <a:ext uri="{FF2B5EF4-FFF2-40B4-BE49-F238E27FC236}">
                  <a16:creationId xmlns:a16="http://schemas.microsoft.com/office/drawing/2014/main" id="{00000000-0008-0000-2B00-000001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4.bin"/><Relationship Id="rId4" Type="http://schemas.openxmlformats.org/officeDocument/2006/relationships/ctrlProp" Target="../ctrlProps/ctrlProp1.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2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6.bin"/><Relationship Id="rId4" Type="http://schemas.openxmlformats.org/officeDocument/2006/relationships/ctrlProp" Target="../ctrlProps/ctrlProp19.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rgb="FFFF0000"/>
  </sheetPr>
  <dimension ref="A1:X40"/>
  <sheetViews>
    <sheetView workbookViewId="0">
      <selection activeCell="E20" sqref="E20"/>
    </sheetView>
  </sheetViews>
  <sheetFormatPr defaultColWidth="11.42578125" defaultRowHeight="15.75" x14ac:dyDescent="0.25"/>
  <cols>
    <col min="1" max="1" width="21.42578125" style="116" customWidth="1"/>
    <col min="2" max="2" width="2.42578125" style="116" customWidth="1"/>
    <col min="3" max="3" width="11.42578125" style="116" customWidth="1"/>
    <col min="4" max="4" width="1.140625" style="116" customWidth="1"/>
    <col min="5" max="16384" width="11.42578125" style="116"/>
  </cols>
  <sheetData>
    <row r="1" spans="1:24" x14ac:dyDescent="0.25">
      <c r="A1" s="516" t="s">
        <v>209</v>
      </c>
      <c r="B1" s="516"/>
      <c r="C1" s="516"/>
      <c r="D1" s="516"/>
      <c r="E1" s="516"/>
      <c r="F1" s="516"/>
      <c r="G1" s="516"/>
      <c r="H1" s="516"/>
      <c r="I1" s="516"/>
      <c r="J1" s="516"/>
      <c r="K1" s="516"/>
      <c r="L1" s="516"/>
      <c r="M1" s="398"/>
      <c r="N1" s="398"/>
      <c r="O1" s="398"/>
      <c r="P1" s="398"/>
      <c r="Q1" s="398"/>
      <c r="R1" s="398"/>
      <c r="S1" s="398"/>
      <c r="T1" s="398"/>
      <c r="U1" s="398"/>
      <c r="V1" s="398"/>
      <c r="W1" s="398"/>
      <c r="X1" s="398"/>
    </row>
    <row r="2" spans="1:24" x14ac:dyDescent="0.25">
      <c r="A2" s="398"/>
      <c r="B2" s="398"/>
      <c r="C2" s="398"/>
      <c r="D2" s="398"/>
      <c r="E2" s="398"/>
      <c r="F2" s="398"/>
      <c r="G2" s="398"/>
      <c r="H2" s="398"/>
      <c r="I2" s="398"/>
      <c r="J2" s="398"/>
      <c r="K2" s="398"/>
      <c r="L2" s="398"/>
      <c r="M2" s="398"/>
      <c r="N2" s="398"/>
      <c r="O2" s="398"/>
      <c r="P2" s="398"/>
      <c r="Q2" s="398"/>
      <c r="R2" s="398"/>
      <c r="S2" s="398"/>
      <c r="T2" s="398"/>
      <c r="U2" s="398"/>
      <c r="V2" s="398"/>
      <c r="W2" s="398"/>
      <c r="X2" s="398"/>
    </row>
    <row r="3" spans="1:24" s="117" customFormat="1" x14ac:dyDescent="0.25">
      <c r="A3" s="399" t="s">
        <v>876</v>
      </c>
      <c r="B3" s="399"/>
      <c r="C3" s="399"/>
      <c r="D3" s="399"/>
      <c r="E3" s="399"/>
      <c r="F3" s="399"/>
      <c r="G3" s="399"/>
      <c r="H3" s="399"/>
      <c r="I3" s="399"/>
      <c r="J3" s="399"/>
      <c r="K3" s="399"/>
      <c r="L3" s="399"/>
      <c r="M3" s="399"/>
      <c r="N3" s="399"/>
      <c r="O3" s="399"/>
      <c r="P3" s="399"/>
      <c r="Q3" s="399"/>
      <c r="R3" s="399"/>
      <c r="S3" s="399"/>
      <c r="T3" s="399"/>
      <c r="U3" s="399"/>
      <c r="V3" s="399"/>
      <c r="W3" s="399"/>
      <c r="X3" s="399"/>
    </row>
    <row r="4" spans="1:24" s="117" customFormat="1" x14ac:dyDescent="0.25">
      <c r="A4" s="399" t="s">
        <v>875</v>
      </c>
      <c r="B4" s="399"/>
      <c r="C4" s="399"/>
      <c r="D4" s="399"/>
      <c r="E4" s="399"/>
      <c r="F4" s="399"/>
      <c r="G4" s="399"/>
      <c r="H4" s="399"/>
      <c r="I4" s="399"/>
      <c r="J4" s="399"/>
      <c r="K4" s="399"/>
      <c r="L4" s="399"/>
      <c r="M4" s="399"/>
      <c r="N4" s="399"/>
      <c r="O4" s="399"/>
      <c r="P4" s="399"/>
      <c r="Q4" s="399"/>
      <c r="R4" s="399"/>
      <c r="S4" s="399"/>
      <c r="T4" s="399"/>
      <c r="U4" s="399"/>
      <c r="V4" s="399"/>
      <c r="W4" s="399"/>
      <c r="X4" s="399"/>
    </row>
    <row r="5" spans="1:24" s="117" customFormat="1" x14ac:dyDescent="0.25">
      <c r="A5" s="399" t="s">
        <v>852</v>
      </c>
      <c r="B5" s="399"/>
      <c r="C5" s="399"/>
      <c r="D5" s="399"/>
      <c r="E5" s="399"/>
      <c r="F5" s="399"/>
      <c r="G5" s="399"/>
      <c r="H5" s="399"/>
      <c r="I5" s="399"/>
      <c r="J5" s="399"/>
      <c r="K5" s="399"/>
      <c r="L5" s="399"/>
      <c r="M5" s="399"/>
      <c r="N5" s="399"/>
      <c r="O5" s="399"/>
      <c r="P5" s="399"/>
      <c r="Q5" s="399"/>
      <c r="R5" s="399"/>
      <c r="S5" s="399"/>
      <c r="T5" s="399"/>
      <c r="U5" s="399"/>
      <c r="V5" s="399"/>
      <c r="W5" s="399"/>
      <c r="X5" s="399"/>
    </row>
    <row r="6" spans="1:24" s="117" customFormat="1" x14ac:dyDescent="0.25">
      <c r="A6" s="399" t="s">
        <v>853</v>
      </c>
      <c r="B6" s="399"/>
      <c r="C6" s="400"/>
      <c r="D6" s="399"/>
      <c r="E6" s="399" t="s">
        <v>210</v>
      </c>
      <c r="F6" s="399"/>
      <c r="G6" s="399"/>
      <c r="H6" s="399"/>
      <c r="I6" s="399"/>
      <c r="J6" s="399"/>
      <c r="K6" s="399"/>
      <c r="L6" s="399"/>
      <c r="M6" s="399"/>
      <c r="N6" s="399"/>
      <c r="O6" s="399"/>
      <c r="P6" s="399"/>
      <c r="Q6" s="399"/>
      <c r="R6" s="399"/>
      <c r="S6" s="399"/>
      <c r="T6" s="399"/>
      <c r="U6" s="399"/>
      <c r="V6" s="399"/>
      <c r="W6" s="399"/>
      <c r="X6" s="399"/>
    </row>
    <row r="7" spans="1:24" s="117" customFormat="1" x14ac:dyDescent="0.25">
      <c r="A7" s="399" t="s">
        <v>854</v>
      </c>
      <c r="B7" s="399"/>
      <c r="C7" s="401"/>
      <c r="D7" s="399"/>
      <c r="E7" s="399" t="s">
        <v>874</v>
      </c>
      <c r="F7" s="399"/>
      <c r="G7" s="399"/>
      <c r="H7" s="399"/>
      <c r="I7" s="399"/>
      <c r="J7" s="399"/>
      <c r="K7" s="399"/>
      <c r="L7" s="399"/>
      <c r="M7" s="399"/>
      <c r="N7" s="399"/>
      <c r="O7" s="399"/>
      <c r="P7" s="399"/>
      <c r="Q7" s="399"/>
      <c r="R7" s="399"/>
      <c r="S7" s="399"/>
      <c r="T7" s="399"/>
      <c r="U7" s="399"/>
      <c r="V7" s="399"/>
      <c r="W7" s="399"/>
      <c r="X7" s="399"/>
    </row>
    <row r="8" spans="1:24" s="117" customFormat="1" x14ac:dyDescent="0.25">
      <c r="A8" s="399" t="s">
        <v>855</v>
      </c>
      <c r="B8" s="399"/>
      <c r="C8" s="402"/>
      <c r="D8" s="399"/>
      <c r="E8" s="399" t="s">
        <v>211</v>
      </c>
      <c r="F8" s="399"/>
      <c r="G8" s="399"/>
      <c r="H8" s="399"/>
      <c r="I8" s="399"/>
      <c r="J8" s="399"/>
      <c r="K8" s="399"/>
      <c r="L8" s="399"/>
      <c r="M8" s="399"/>
      <c r="N8" s="399"/>
      <c r="O8" s="399"/>
      <c r="P8" s="399"/>
      <c r="Q8" s="399"/>
      <c r="R8" s="399"/>
      <c r="S8" s="399"/>
      <c r="T8" s="399"/>
      <c r="U8" s="399"/>
      <c r="V8" s="399"/>
      <c r="W8" s="399"/>
      <c r="X8" s="399"/>
    </row>
    <row r="9" spans="1:24" x14ac:dyDescent="0.25">
      <c r="A9" s="398"/>
      <c r="B9" s="398"/>
      <c r="C9" s="398"/>
      <c r="D9" s="398"/>
      <c r="E9" s="398"/>
      <c r="F9" s="398"/>
      <c r="G9" s="398"/>
      <c r="H9" s="398"/>
      <c r="I9" s="398"/>
      <c r="J9" s="398"/>
      <c r="K9" s="398"/>
      <c r="L9" s="398"/>
      <c r="M9" s="398"/>
      <c r="N9" s="398"/>
      <c r="O9" s="398"/>
      <c r="P9" s="398"/>
      <c r="Q9" s="398"/>
      <c r="R9" s="398"/>
      <c r="S9" s="398"/>
      <c r="T9" s="398"/>
      <c r="U9" s="398"/>
      <c r="V9" s="398"/>
      <c r="W9" s="398"/>
      <c r="X9" s="398"/>
    </row>
    <row r="10" spans="1:24" x14ac:dyDescent="0.25">
      <c r="A10" s="403" t="s">
        <v>856</v>
      </c>
      <c r="B10" s="398"/>
      <c r="C10" s="398"/>
      <c r="D10" s="398"/>
      <c r="E10" s="398"/>
      <c r="F10" s="398"/>
      <c r="G10" s="398"/>
      <c r="H10" s="398"/>
      <c r="I10" s="398"/>
      <c r="J10" s="398"/>
      <c r="K10" s="398"/>
      <c r="L10" s="398"/>
      <c r="M10" s="398"/>
      <c r="N10" s="398"/>
      <c r="O10" s="398"/>
      <c r="P10" s="398"/>
      <c r="Q10" s="398"/>
      <c r="R10" s="398"/>
      <c r="S10" s="398"/>
      <c r="T10" s="398"/>
      <c r="U10" s="398"/>
      <c r="V10" s="398"/>
      <c r="W10" s="398"/>
      <c r="X10" s="398"/>
    </row>
    <row r="11" spans="1:24" x14ac:dyDescent="0.25">
      <c r="A11" s="398" t="s">
        <v>857</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row>
    <row r="12" spans="1:24" x14ac:dyDescent="0.25">
      <c r="A12" s="398" t="s">
        <v>858</v>
      </c>
      <c r="B12" s="398"/>
      <c r="C12" s="398"/>
      <c r="D12" s="398"/>
      <c r="E12" s="398"/>
      <c r="F12" s="398"/>
      <c r="G12" s="398"/>
      <c r="H12" s="398"/>
      <c r="I12" s="398"/>
      <c r="J12" s="398"/>
      <c r="K12" s="398"/>
      <c r="L12" s="398"/>
      <c r="M12" s="398"/>
      <c r="N12" s="398"/>
      <c r="O12" s="398"/>
      <c r="P12" s="398"/>
      <c r="Q12" s="398"/>
      <c r="R12" s="398"/>
      <c r="S12" s="398"/>
      <c r="T12" s="398"/>
      <c r="U12" s="398"/>
      <c r="V12" s="398"/>
      <c r="W12" s="398"/>
      <c r="X12" s="398"/>
    </row>
    <row r="13" spans="1:24" x14ac:dyDescent="0.25">
      <c r="A13" s="398" t="s">
        <v>907</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row>
    <row r="14" spans="1:24" x14ac:dyDescent="0.25">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row>
    <row r="15" spans="1:24" x14ac:dyDescent="0.25">
      <c r="A15" s="398"/>
      <c r="B15" s="398"/>
      <c r="C15" s="398"/>
      <c r="D15" s="398"/>
      <c r="E15" s="398"/>
      <c r="F15" s="398"/>
      <c r="G15" s="398"/>
      <c r="H15" s="398"/>
      <c r="I15" s="398"/>
      <c r="J15" s="398"/>
      <c r="K15" s="398"/>
      <c r="L15" s="398"/>
      <c r="M15" s="398"/>
      <c r="N15" s="398"/>
      <c r="O15" s="398"/>
      <c r="P15" s="398"/>
      <c r="Q15" s="398"/>
      <c r="R15" s="398"/>
      <c r="S15" s="398"/>
      <c r="T15" s="398"/>
      <c r="U15" s="398"/>
      <c r="V15" s="398"/>
      <c r="W15" s="398"/>
      <c r="X15" s="398"/>
    </row>
    <row r="16" spans="1:24" x14ac:dyDescent="0.25">
      <c r="A16" s="398"/>
      <c r="B16" s="398"/>
      <c r="C16" s="398"/>
      <c r="D16" s="398"/>
      <c r="E16" s="398"/>
      <c r="F16" s="398"/>
      <c r="G16" s="398"/>
      <c r="H16" s="398"/>
      <c r="I16" s="398"/>
      <c r="J16" s="398"/>
      <c r="K16" s="398"/>
      <c r="L16" s="398"/>
      <c r="M16" s="398"/>
      <c r="N16" s="398"/>
      <c r="O16" s="398"/>
      <c r="P16" s="398"/>
      <c r="Q16" s="398"/>
      <c r="R16" s="398"/>
      <c r="S16" s="398"/>
      <c r="T16" s="398"/>
      <c r="U16" s="398"/>
      <c r="V16" s="398"/>
      <c r="W16" s="398"/>
      <c r="X16" s="398"/>
    </row>
    <row r="17" spans="1:24" x14ac:dyDescent="0.25">
      <c r="A17" s="404" t="s">
        <v>906</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row>
    <row r="18" spans="1:24" x14ac:dyDescent="0.25">
      <c r="A18" s="398"/>
      <c r="B18" s="398"/>
      <c r="C18" s="398"/>
      <c r="D18" s="398"/>
      <c r="E18" s="398"/>
      <c r="F18" s="398"/>
      <c r="G18" s="398"/>
      <c r="H18" s="398"/>
      <c r="I18" s="398"/>
      <c r="J18" s="398"/>
      <c r="K18" s="398"/>
      <c r="L18" s="398"/>
      <c r="M18" s="398"/>
      <c r="N18" s="398"/>
      <c r="O18" s="398"/>
      <c r="P18" s="398"/>
      <c r="Q18" s="398"/>
      <c r="R18" s="398"/>
      <c r="S18" s="398"/>
      <c r="T18" s="398"/>
      <c r="U18" s="398"/>
      <c r="V18" s="398"/>
      <c r="W18" s="398"/>
      <c r="X18" s="398"/>
    </row>
    <row r="19" spans="1:24" x14ac:dyDescent="0.25">
      <c r="A19" s="398"/>
      <c r="B19" s="398"/>
      <c r="C19" s="398"/>
      <c r="D19" s="398"/>
      <c r="E19" s="398"/>
      <c r="F19" s="398"/>
      <c r="G19" s="398"/>
      <c r="H19" s="398"/>
      <c r="I19" s="398"/>
      <c r="J19" s="398"/>
      <c r="K19" s="398"/>
      <c r="L19" s="398"/>
      <c r="M19" s="398"/>
      <c r="N19" s="398"/>
      <c r="O19" s="398"/>
      <c r="P19" s="398"/>
      <c r="Q19" s="398"/>
      <c r="R19" s="398"/>
      <c r="S19" s="398"/>
      <c r="T19" s="398"/>
      <c r="U19" s="398"/>
      <c r="V19" s="398"/>
      <c r="W19" s="398"/>
      <c r="X19" s="398"/>
    </row>
    <row r="20" spans="1:24" x14ac:dyDescent="0.25">
      <c r="A20" s="398"/>
      <c r="B20" s="398"/>
      <c r="C20" s="398"/>
      <c r="D20" s="398"/>
      <c r="E20" s="398"/>
      <c r="F20" s="398"/>
      <c r="G20" s="398"/>
      <c r="H20" s="398"/>
      <c r="I20" s="398"/>
      <c r="J20" s="398"/>
      <c r="K20" s="398"/>
      <c r="L20" s="398"/>
      <c r="M20" s="398"/>
      <c r="N20" s="398"/>
      <c r="O20" s="398"/>
      <c r="P20" s="398"/>
      <c r="Q20" s="398"/>
      <c r="R20" s="398"/>
      <c r="S20" s="398"/>
      <c r="T20" s="398"/>
      <c r="U20" s="398"/>
      <c r="V20" s="398"/>
      <c r="W20" s="398"/>
      <c r="X20" s="398"/>
    </row>
    <row r="21" spans="1:24" x14ac:dyDescent="0.25">
      <c r="A21" s="398"/>
      <c r="B21" s="398"/>
      <c r="C21" s="398"/>
      <c r="D21" s="398"/>
      <c r="E21" s="398"/>
      <c r="F21" s="398"/>
      <c r="G21" s="398"/>
      <c r="H21" s="398"/>
      <c r="I21" s="398"/>
      <c r="J21" s="398"/>
      <c r="K21" s="398"/>
      <c r="L21" s="398"/>
      <c r="M21" s="398"/>
      <c r="N21" s="398"/>
      <c r="O21" s="398"/>
      <c r="P21" s="398"/>
      <c r="Q21" s="398"/>
      <c r="R21" s="398"/>
      <c r="S21" s="398"/>
      <c r="T21" s="398"/>
      <c r="U21" s="398"/>
      <c r="V21" s="398"/>
      <c r="W21" s="398"/>
      <c r="X21" s="398"/>
    </row>
    <row r="22" spans="1:24" x14ac:dyDescent="0.25">
      <c r="A22" s="398"/>
      <c r="B22" s="398"/>
      <c r="C22" s="398"/>
      <c r="D22" s="398"/>
      <c r="E22" s="398"/>
      <c r="F22" s="398"/>
      <c r="G22" s="398"/>
      <c r="H22" s="398"/>
      <c r="I22" s="398"/>
      <c r="J22" s="398"/>
      <c r="K22" s="398"/>
      <c r="L22" s="398"/>
      <c r="M22" s="398"/>
      <c r="N22" s="398"/>
      <c r="O22" s="398"/>
      <c r="P22" s="398"/>
      <c r="Q22" s="398"/>
      <c r="R22" s="398"/>
      <c r="S22" s="398"/>
      <c r="T22" s="398"/>
      <c r="U22" s="398"/>
      <c r="V22" s="398"/>
      <c r="W22" s="398"/>
      <c r="X22" s="398"/>
    </row>
    <row r="23" spans="1:24" x14ac:dyDescent="0.25">
      <c r="A23" s="398"/>
      <c r="B23" s="398"/>
      <c r="C23" s="398"/>
      <c r="D23" s="398"/>
      <c r="E23" s="398"/>
      <c r="F23" s="398"/>
      <c r="G23" s="398"/>
      <c r="H23" s="398"/>
      <c r="I23" s="398"/>
      <c r="J23" s="398"/>
      <c r="K23" s="398"/>
      <c r="L23" s="398"/>
      <c r="M23" s="398"/>
      <c r="N23" s="398"/>
      <c r="O23" s="398"/>
      <c r="P23" s="398"/>
      <c r="Q23" s="398"/>
      <c r="R23" s="398"/>
      <c r="S23" s="398"/>
      <c r="T23" s="398"/>
      <c r="U23" s="398"/>
      <c r="V23" s="398"/>
      <c r="W23" s="398"/>
      <c r="X23" s="398"/>
    </row>
    <row r="24" spans="1:24" x14ac:dyDescent="0.25">
      <c r="A24" s="398"/>
      <c r="B24" s="398"/>
      <c r="C24" s="398"/>
      <c r="D24" s="398"/>
      <c r="E24" s="398"/>
      <c r="F24" s="398"/>
      <c r="G24" s="398"/>
      <c r="H24" s="398"/>
      <c r="I24" s="398"/>
      <c r="J24" s="398"/>
      <c r="K24" s="398"/>
      <c r="L24" s="398"/>
      <c r="M24" s="398"/>
      <c r="N24" s="398"/>
      <c r="O24" s="398"/>
      <c r="P24" s="398"/>
      <c r="Q24" s="398"/>
      <c r="R24" s="398"/>
      <c r="S24" s="398"/>
      <c r="T24" s="398"/>
      <c r="U24" s="398"/>
      <c r="V24" s="398"/>
      <c r="W24" s="398"/>
      <c r="X24" s="398"/>
    </row>
    <row r="25" spans="1:24" x14ac:dyDescent="0.25">
      <c r="A25" s="398"/>
      <c r="B25" s="398"/>
      <c r="C25" s="398"/>
      <c r="D25" s="398"/>
      <c r="E25" s="398"/>
      <c r="F25" s="398"/>
      <c r="G25" s="398"/>
      <c r="H25" s="398"/>
      <c r="I25" s="398"/>
      <c r="J25" s="398"/>
      <c r="K25" s="398"/>
      <c r="L25" s="398"/>
      <c r="M25" s="398"/>
      <c r="N25" s="398"/>
      <c r="O25" s="398"/>
      <c r="P25" s="398"/>
      <c r="Q25" s="398"/>
      <c r="R25" s="398"/>
      <c r="S25" s="398"/>
      <c r="T25" s="398"/>
      <c r="U25" s="398"/>
      <c r="V25" s="398"/>
      <c r="W25" s="398"/>
      <c r="X25" s="398"/>
    </row>
    <row r="26" spans="1:24" x14ac:dyDescent="0.25">
      <c r="A26" s="398"/>
      <c r="B26" s="398"/>
      <c r="C26" s="398"/>
      <c r="D26" s="398"/>
      <c r="E26" s="398"/>
      <c r="F26" s="398"/>
      <c r="G26" s="398"/>
      <c r="H26" s="398"/>
      <c r="I26" s="398"/>
      <c r="J26" s="398"/>
      <c r="K26" s="398"/>
      <c r="L26" s="398"/>
      <c r="M26" s="398"/>
      <c r="N26" s="398"/>
      <c r="O26" s="398"/>
      <c r="P26" s="398"/>
      <c r="Q26" s="398"/>
      <c r="R26" s="398"/>
      <c r="S26" s="398"/>
      <c r="T26" s="398"/>
      <c r="U26" s="398"/>
      <c r="V26" s="398"/>
      <c r="W26" s="398"/>
      <c r="X26" s="398"/>
    </row>
    <row r="27" spans="1:24" x14ac:dyDescent="0.25">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row>
    <row r="28" spans="1:24" x14ac:dyDescent="0.25">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row>
    <row r="29" spans="1:24" x14ac:dyDescent="0.25">
      <c r="A29" s="398"/>
      <c r="B29" s="398"/>
      <c r="C29" s="398"/>
      <c r="D29" s="398"/>
      <c r="E29" s="398"/>
      <c r="F29" s="398"/>
      <c r="G29" s="398"/>
      <c r="H29" s="398"/>
      <c r="I29" s="398"/>
      <c r="J29" s="398"/>
      <c r="K29" s="398"/>
      <c r="L29" s="398"/>
      <c r="M29" s="398"/>
      <c r="N29" s="398"/>
      <c r="O29" s="398"/>
      <c r="P29" s="398"/>
      <c r="Q29" s="398"/>
      <c r="R29" s="398"/>
      <c r="S29" s="398"/>
      <c r="T29" s="398"/>
      <c r="U29" s="398"/>
      <c r="V29" s="398"/>
      <c r="W29" s="398"/>
      <c r="X29" s="398"/>
    </row>
    <row r="30" spans="1:24" x14ac:dyDescent="0.25">
      <c r="A30" s="398"/>
      <c r="B30" s="398"/>
      <c r="C30" s="398"/>
      <c r="D30" s="398"/>
      <c r="E30" s="398"/>
      <c r="F30" s="398"/>
      <c r="G30" s="398"/>
      <c r="H30" s="398"/>
      <c r="I30" s="398"/>
      <c r="J30" s="398"/>
      <c r="K30" s="398"/>
      <c r="L30" s="398"/>
      <c r="M30" s="398"/>
      <c r="N30" s="398"/>
      <c r="O30" s="398"/>
      <c r="P30" s="398"/>
      <c r="Q30" s="398"/>
      <c r="R30" s="398"/>
      <c r="S30" s="398"/>
      <c r="T30" s="398"/>
      <c r="U30" s="398"/>
      <c r="V30" s="398"/>
      <c r="W30" s="398"/>
      <c r="X30" s="398"/>
    </row>
    <row r="31" spans="1:24" x14ac:dyDescent="0.25">
      <c r="A31" s="398"/>
      <c r="B31" s="398"/>
      <c r="C31" s="398"/>
      <c r="D31" s="398"/>
      <c r="E31" s="398"/>
      <c r="F31" s="398"/>
      <c r="G31" s="398"/>
      <c r="H31" s="398"/>
      <c r="I31" s="398"/>
      <c r="J31" s="398"/>
      <c r="K31" s="398"/>
      <c r="L31" s="398"/>
      <c r="M31" s="398"/>
      <c r="N31" s="398"/>
      <c r="O31" s="398"/>
      <c r="P31" s="398"/>
      <c r="Q31" s="398"/>
      <c r="R31" s="398"/>
      <c r="S31" s="398"/>
      <c r="T31" s="398"/>
      <c r="U31" s="398"/>
      <c r="V31" s="398"/>
      <c r="W31" s="398"/>
      <c r="X31" s="398"/>
    </row>
    <row r="32" spans="1:24" x14ac:dyDescent="0.25">
      <c r="A32" s="398"/>
      <c r="B32" s="398"/>
      <c r="C32" s="398"/>
      <c r="D32" s="398"/>
      <c r="E32" s="398"/>
      <c r="F32" s="398"/>
      <c r="G32" s="398"/>
      <c r="H32" s="398"/>
      <c r="I32" s="398"/>
      <c r="J32" s="398"/>
      <c r="K32" s="398"/>
      <c r="L32" s="398"/>
      <c r="M32" s="398"/>
      <c r="N32" s="398"/>
      <c r="O32" s="398"/>
      <c r="P32" s="398"/>
      <c r="Q32" s="398"/>
      <c r="R32" s="398"/>
      <c r="S32" s="398"/>
      <c r="T32" s="398"/>
      <c r="U32" s="398"/>
      <c r="V32" s="398"/>
      <c r="W32" s="398"/>
      <c r="X32" s="398"/>
    </row>
    <row r="33" spans="1:24" x14ac:dyDescent="0.25">
      <c r="A33" s="398"/>
      <c r="B33" s="398"/>
      <c r="C33" s="398"/>
      <c r="D33" s="398"/>
      <c r="E33" s="398"/>
      <c r="F33" s="398"/>
      <c r="G33" s="398"/>
      <c r="H33" s="398"/>
      <c r="I33" s="398"/>
      <c r="J33" s="398"/>
      <c r="K33" s="398"/>
      <c r="L33" s="398"/>
      <c r="M33" s="398"/>
      <c r="N33" s="398"/>
      <c r="O33" s="398"/>
      <c r="P33" s="398"/>
      <c r="Q33" s="398"/>
      <c r="R33" s="398"/>
      <c r="S33" s="398"/>
      <c r="T33" s="398"/>
      <c r="U33" s="398"/>
      <c r="V33" s="398"/>
      <c r="W33" s="398"/>
      <c r="X33" s="398"/>
    </row>
    <row r="34" spans="1:24" x14ac:dyDescent="0.25">
      <c r="A34" s="398"/>
      <c r="B34" s="398"/>
      <c r="C34" s="398"/>
      <c r="D34" s="398"/>
      <c r="E34" s="398"/>
      <c r="F34" s="398"/>
      <c r="G34" s="398"/>
      <c r="H34" s="398"/>
      <c r="I34" s="241"/>
      <c r="J34" s="398"/>
      <c r="K34" s="398"/>
      <c r="L34" s="398"/>
      <c r="M34" s="398"/>
      <c r="N34" s="398"/>
      <c r="O34" s="398"/>
      <c r="P34" s="398"/>
      <c r="Q34" s="398"/>
      <c r="R34" s="398"/>
      <c r="S34" s="398"/>
      <c r="T34" s="398"/>
      <c r="U34" s="398"/>
      <c r="V34" s="398"/>
      <c r="W34" s="398"/>
      <c r="X34" s="398"/>
    </row>
    <row r="35" spans="1:24" x14ac:dyDescent="0.25">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row>
    <row r="36" spans="1:24" x14ac:dyDescent="0.25">
      <c r="A36" s="398"/>
      <c r="B36" s="398"/>
      <c r="C36" s="398"/>
      <c r="D36" s="398"/>
      <c r="E36" s="398"/>
      <c r="F36" s="398"/>
      <c r="G36" s="398"/>
      <c r="H36" s="398"/>
      <c r="I36" s="398"/>
      <c r="J36" s="398"/>
      <c r="K36" s="398"/>
      <c r="L36" s="398"/>
      <c r="M36" s="398"/>
      <c r="N36" s="398"/>
      <c r="O36" s="398"/>
      <c r="P36" s="398"/>
      <c r="Q36" s="398"/>
      <c r="R36" s="398"/>
      <c r="S36" s="398"/>
      <c r="T36" s="398"/>
      <c r="U36" s="398"/>
      <c r="V36" s="398"/>
      <c r="W36" s="398"/>
      <c r="X36" s="398"/>
    </row>
    <row r="37" spans="1:24" x14ac:dyDescent="0.25">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row>
    <row r="38" spans="1:24" x14ac:dyDescent="0.25">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row>
    <row r="39" spans="1:24" x14ac:dyDescent="0.25">
      <c r="A39" s="398"/>
      <c r="B39" s="398"/>
      <c r="C39" s="398"/>
      <c r="D39" s="398"/>
      <c r="E39" s="398"/>
      <c r="F39" s="398"/>
      <c r="G39" s="398"/>
      <c r="H39" s="398"/>
      <c r="I39" s="398"/>
      <c r="J39" s="398"/>
      <c r="K39" s="398"/>
      <c r="L39" s="398"/>
      <c r="M39" s="398"/>
      <c r="N39" s="398"/>
      <c r="O39" s="398"/>
      <c r="P39" s="398"/>
      <c r="Q39" s="398"/>
      <c r="R39" s="398"/>
      <c r="S39" s="398"/>
      <c r="T39" s="398"/>
      <c r="U39" s="398"/>
      <c r="V39" s="398"/>
      <c r="W39" s="398"/>
      <c r="X39" s="398"/>
    </row>
    <row r="40" spans="1:24" x14ac:dyDescent="0.25">
      <c r="A40" s="398"/>
      <c r="B40" s="398"/>
      <c r="C40" s="398"/>
      <c r="D40" s="398"/>
      <c r="E40" s="398"/>
      <c r="F40" s="398"/>
      <c r="G40" s="398"/>
      <c r="H40" s="398"/>
      <c r="I40" s="398"/>
      <c r="J40" s="398"/>
      <c r="K40" s="398"/>
      <c r="L40" s="398"/>
      <c r="M40" s="398"/>
      <c r="N40" s="398"/>
      <c r="O40" s="398"/>
      <c r="P40" s="398"/>
      <c r="Q40" s="398"/>
      <c r="R40" s="398"/>
      <c r="S40" s="398"/>
      <c r="T40" s="398"/>
      <c r="U40" s="398"/>
      <c r="V40" s="398"/>
      <c r="W40" s="398"/>
      <c r="X40" s="398"/>
    </row>
  </sheetData>
  <mergeCells count="1">
    <mergeCell ref="A1:L1"/>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tabColor theme="4" tint="0.39997558519241921"/>
  </sheetPr>
  <dimension ref="A1:T64"/>
  <sheetViews>
    <sheetView topLeftCell="A42" workbookViewId="0">
      <selection activeCell="I54" sqref="I54"/>
    </sheetView>
  </sheetViews>
  <sheetFormatPr defaultColWidth="11.42578125" defaultRowHeight="12.75" x14ac:dyDescent="0.2"/>
  <cols>
    <col min="1" max="1" width="5.28515625" bestFit="1" customWidth="1"/>
    <col min="2" max="2" width="6.140625" style="40" customWidth="1"/>
    <col min="3" max="3" width="3.7109375" style="40" customWidth="1"/>
    <col min="4" max="4" width="7.85546875" style="40" bestFit="1" customWidth="1"/>
    <col min="5" max="5" width="53.7109375" style="40" customWidth="1"/>
    <col min="6" max="6" width="3.28515625" style="42" bestFit="1" customWidth="1"/>
    <col min="7" max="7" width="3.28515625" style="42" customWidth="1"/>
    <col min="8" max="8" width="16.42578125" style="95" bestFit="1" customWidth="1"/>
    <col min="9" max="9" width="11.42578125" customWidth="1"/>
    <col min="10" max="10" width="1.7109375" customWidth="1"/>
    <col min="11" max="11" width="11.7109375" bestFit="1" customWidth="1"/>
    <col min="12" max="12" width="38.7109375" bestFit="1" customWidth="1"/>
    <col min="13" max="13" width="1.28515625" customWidth="1"/>
    <col min="14" max="14" width="10.28515625" bestFit="1" customWidth="1"/>
    <col min="15" max="15" width="13.7109375" bestFit="1" customWidth="1"/>
    <col min="16" max="16" width="17.7109375" customWidth="1"/>
    <col min="17" max="17" width="11.42578125" customWidth="1"/>
    <col min="18" max="18" width="11.7109375" bestFit="1" customWidth="1"/>
  </cols>
  <sheetData>
    <row r="1" spans="1:20" x14ac:dyDescent="0.2">
      <c r="A1" s="76" t="s">
        <v>556</v>
      </c>
      <c r="B1" s="614" t="s">
        <v>195</v>
      </c>
      <c r="C1" s="614"/>
      <c r="D1" s="614"/>
      <c r="E1" s="614"/>
      <c r="F1" s="111" t="s">
        <v>19</v>
      </c>
      <c r="G1" s="112"/>
      <c r="H1" s="113">
        <f>H3+H10+H18+H22+H30+H31+H32</f>
        <v>223648.56719302668</v>
      </c>
      <c r="P1" s="95"/>
    </row>
    <row r="2" spans="1:20" ht="13.5" thickBot="1" x14ac:dyDescent="0.25"/>
    <row r="3" spans="1:20" ht="15.75" thickBot="1" x14ac:dyDescent="0.25">
      <c r="B3" s="293" t="s">
        <v>563</v>
      </c>
      <c r="C3" s="614" t="s">
        <v>97</v>
      </c>
      <c r="D3" s="614"/>
      <c r="E3" s="615"/>
      <c r="F3" s="101" t="s">
        <v>19</v>
      </c>
      <c r="G3" s="99"/>
      <c r="H3" s="98">
        <f>SUM(H4:H8)</f>
        <v>14744.318666666668</v>
      </c>
      <c r="J3" s="518" t="s">
        <v>83</v>
      </c>
      <c r="K3" s="519"/>
      <c r="L3" s="519"/>
      <c r="M3" s="520"/>
    </row>
    <row r="4" spans="1:20" ht="15" x14ac:dyDescent="0.25">
      <c r="D4" s="40" t="s">
        <v>557</v>
      </c>
      <c r="E4" s="40" t="s">
        <v>101</v>
      </c>
      <c r="F4" s="102"/>
      <c r="G4" s="100" t="s">
        <v>19</v>
      </c>
      <c r="H4" s="96">
        <f>'A.IX.a. Deprec. veículos'!G248</f>
        <v>13979.666666666668</v>
      </c>
      <c r="J4" s="33"/>
      <c r="K4" s="64"/>
      <c r="L4" s="64"/>
      <c r="M4" s="34"/>
    </row>
    <row r="5" spans="1:20" ht="15" x14ac:dyDescent="0.25">
      <c r="D5" s="40" t="s">
        <v>558</v>
      </c>
      <c r="E5" s="40" t="s">
        <v>102</v>
      </c>
      <c r="F5" s="103"/>
      <c r="G5" s="100" t="s">
        <v>19</v>
      </c>
      <c r="H5" s="96">
        <f>((0.0001*'2.1.b Veículos'!D9)*9)+((0.0001*'2.1.b Veículos'!F9)*2)+((0.0001*'2.1.c Insumos'!F72)+(0.0001*'2.1.c Insumos'!F75))</f>
        <v>764.65200000000004</v>
      </c>
      <c r="J5" s="35"/>
      <c r="K5" s="2"/>
      <c r="L5" s="44" t="s">
        <v>81</v>
      </c>
      <c r="M5" s="36"/>
    </row>
    <row r="6" spans="1:20" ht="15" x14ac:dyDescent="0.25">
      <c r="D6" s="40" t="s">
        <v>559</v>
      </c>
      <c r="E6" s="40" t="s">
        <v>103</v>
      </c>
      <c r="F6" s="103"/>
      <c r="G6" s="100" t="s">
        <v>19</v>
      </c>
      <c r="H6" s="96"/>
      <c r="J6" s="35"/>
      <c r="K6" s="4"/>
      <c r="L6" s="44" t="s">
        <v>93</v>
      </c>
      <c r="M6" s="36"/>
      <c r="P6" s="95"/>
    </row>
    <row r="7" spans="1:20" ht="15" x14ac:dyDescent="0.25">
      <c r="D7" s="40" t="s">
        <v>560</v>
      </c>
      <c r="E7" s="40" t="s">
        <v>104</v>
      </c>
      <c r="F7" s="103"/>
      <c r="G7" s="100" t="s">
        <v>19</v>
      </c>
      <c r="H7" s="96"/>
      <c r="J7" s="35"/>
      <c r="K7" s="43"/>
      <c r="L7" s="44" t="s">
        <v>82</v>
      </c>
      <c r="M7" s="36"/>
      <c r="P7" s="95"/>
    </row>
    <row r="8" spans="1:20" ht="15.75" thickBot="1" x14ac:dyDescent="0.3">
      <c r="D8" s="40" t="s">
        <v>561</v>
      </c>
      <c r="E8" s="40" t="s">
        <v>105</v>
      </c>
      <c r="F8" s="104"/>
      <c r="G8" s="100" t="s">
        <v>19</v>
      </c>
      <c r="H8" s="96"/>
      <c r="J8" s="37"/>
      <c r="K8" s="38"/>
      <c r="L8" s="38"/>
      <c r="M8" s="39"/>
      <c r="P8" s="95"/>
    </row>
    <row r="9" spans="1:20" x14ac:dyDescent="0.2">
      <c r="F9" s="41"/>
      <c r="G9" s="41"/>
    </row>
    <row r="10" spans="1:20" x14ac:dyDescent="0.2">
      <c r="B10" s="293" t="s">
        <v>562</v>
      </c>
      <c r="C10" s="614" t="s">
        <v>570</v>
      </c>
      <c r="D10" s="614"/>
      <c r="E10" s="615"/>
      <c r="F10" s="101" t="s">
        <v>19</v>
      </c>
      <c r="G10" s="99"/>
      <c r="H10" s="172">
        <f>SUM(H11:H16)</f>
        <v>3185.9148488666665</v>
      </c>
      <c r="L10" s="171"/>
      <c r="R10" s="95"/>
      <c r="T10" s="171"/>
    </row>
    <row r="11" spans="1:20" x14ac:dyDescent="0.2">
      <c r="D11" s="40" t="s">
        <v>564</v>
      </c>
      <c r="E11" s="40" t="s">
        <v>106</v>
      </c>
      <c r="F11" s="102"/>
      <c r="G11" s="100" t="s">
        <v>19</v>
      </c>
      <c r="H11" s="96">
        <f>'A.X.a. Remun. veículos '!G231</f>
        <v>888.04171666666605</v>
      </c>
    </row>
    <row r="12" spans="1:20" x14ac:dyDescent="0.2">
      <c r="D12" s="40" t="s">
        <v>565</v>
      </c>
      <c r="E12" s="40" t="s">
        <v>107</v>
      </c>
      <c r="F12" s="103"/>
      <c r="G12" s="100" t="s">
        <v>19</v>
      </c>
      <c r="H12" s="96">
        <f>'A.X.b.  Remun. garagem equip.'!D20</f>
        <v>2234.1879138666668</v>
      </c>
    </row>
    <row r="13" spans="1:20" x14ac:dyDescent="0.2">
      <c r="D13" s="40" t="s">
        <v>566</v>
      </c>
      <c r="E13" s="40" t="s">
        <v>108</v>
      </c>
      <c r="F13" s="103"/>
      <c r="G13" s="100" t="s">
        <v>19</v>
      </c>
      <c r="H13" s="96"/>
      <c r="L13" s="95"/>
      <c r="O13" s="179"/>
    </row>
    <row r="14" spans="1:20" x14ac:dyDescent="0.2">
      <c r="D14" s="40" t="s">
        <v>567</v>
      </c>
      <c r="E14" s="40" t="s">
        <v>109</v>
      </c>
      <c r="F14" s="103"/>
      <c r="G14" s="100" t="s">
        <v>19</v>
      </c>
      <c r="H14" s="96"/>
      <c r="L14" s="95"/>
      <c r="P14" s="95"/>
    </row>
    <row r="15" spans="1:20" x14ac:dyDescent="0.2">
      <c r="D15" s="40" t="s">
        <v>568</v>
      </c>
      <c r="E15" s="40" t="s">
        <v>110</v>
      </c>
      <c r="F15" s="103"/>
      <c r="G15" s="100" t="s">
        <v>19</v>
      </c>
      <c r="H15" s="96">
        <f>SUM('1.3 Frota Total'!C19:F25)*('2.1.b Veículos'!D9+'2.1.b Veículos'!F9)/2*('2.1.c Insumos'!F68/100)*0.01/12</f>
        <v>63.685218333333324</v>
      </c>
      <c r="L15" s="95"/>
      <c r="P15" s="95"/>
    </row>
    <row r="16" spans="1:20" x14ac:dyDescent="0.2">
      <c r="D16" s="40" t="s">
        <v>569</v>
      </c>
      <c r="E16" s="40" t="s">
        <v>111</v>
      </c>
      <c r="F16" s="104"/>
      <c r="G16" s="100" t="s">
        <v>19</v>
      </c>
      <c r="H16" s="96"/>
      <c r="P16" s="95"/>
    </row>
    <row r="17" spans="2:16" x14ac:dyDescent="0.2">
      <c r="F17" s="41"/>
      <c r="G17" s="41"/>
    </row>
    <row r="18" spans="2:16" x14ac:dyDescent="0.2">
      <c r="B18" s="293" t="s">
        <v>572</v>
      </c>
      <c r="C18" s="614" t="s">
        <v>571</v>
      </c>
      <c r="D18" s="614"/>
      <c r="E18" s="615"/>
      <c r="F18" s="101" t="s">
        <v>19</v>
      </c>
      <c r="G18" s="99"/>
      <c r="H18" s="98">
        <f>SUM(H19:H20)</f>
        <v>158218.79034416002</v>
      </c>
    </row>
    <row r="19" spans="2:16" x14ac:dyDescent="0.2">
      <c r="D19" s="40" t="s">
        <v>573</v>
      </c>
      <c r="E19" s="40" t="s">
        <v>112</v>
      </c>
      <c r="F19" s="102"/>
      <c r="G19" s="100" t="s">
        <v>19</v>
      </c>
      <c r="H19" s="96">
        <f>(((('2.1.c Insumos'!F34*'2.1.c Insumos'!F42)+('2.1.c Insumos'!F35*'2.1.c Insumos'!F43)+('2.1.c Insumos'!F36*'2.1.c Insumos'!F44)+('2.1.c Insumos'!F37*'2.1.c Insumos'!F45))*((1+('2.1.c Insumos'!F50/100)))+(('2.1.c Insumos'!F38*'2.1.c Insumos'!F46)+('2.1.c Insumos'!F39*'2.1.c Insumos'!F47)+('2.1.c Insumos'!F40*'2.1.c Insumos'!F48)+('2.1.c Insumos'!F41*'2.1.c Insumos'!F49)))*10)</f>
        <v>113013.42167440002</v>
      </c>
      <c r="N19" s="138"/>
      <c r="P19" s="137"/>
    </row>
    <row r="20" spans="2:16" x14ac:dyDescent="0.2">
      <c r="D20" s="40" t="s">
        <v>574</v>
      </c>
      <c r="E20" s="40" t="s">
        <v>113</v>
      </c>
      <c r="F20" s="104"/>
      <c r="G20" s="100" t="s">
        <v>19</v>
      </c>
      <c r="H20" s="96">
        <f>H19*('2.1.c Insumos'!F51/100)</f>
        <v>45205.368669760006</v>
      </c>
    </row>
    <row r="21" spans="2:16" x14ac:dyDescent="0.2">
      <c r="F21" s="41"/>
      <c r="G21" s="41"/>
      <c r="N21" s="137"/>
    </row>
    <row r="22" spans="2:16" x14ac:dyDescent="0.2">
      <c r="B22" s="76" t="s">
        <v>575</v>
      </c>
      <c r="C22" s="614" t="s">
        <v>98</v>
      </c>
      <c r="D22" s="614"/>
      <c r="E22" s="615"/>
      <c r="F22" s="101" t="s">
        <v>19</v>
      </c>
      <c r="G22" s="99"/>
      <c r="H22" s="98">
        <f>SUM(H23:H27)</f>
        <v>37878.543333333335</v>
      </c>
    </row>
    <row r="23" spans="2:16" x14ac:dyDescent="0.2">
      <c r="D23" s="40" t="s">
        <v>576</v>
      </c>
      <c r="E23" s="40" t="s">
        <v>114</v>
      </c>
      <c r="F23" s="102"/>
      <c r="G23" s="100" t="s">
        <v>19</v>
      </c>
      <c r="H23" s="96">
        <f>'2.1.c Insumos'!F93/12</f>
        <v>32829.19</v>
      </c>
    </row>
    <row r="24" spans="2:16" x14ac:dyDescent="0.2">
      <c r="D24" s="40" t="s">
        <v>577</v>
      </c>
      <c r="E24" s="40" t="s">
        <v>115</v>
      </c>
      <c r="F24" s="103"/>
      <c r="G24" s="100" t="s">
        <v>19</v>
      </c>
      <c r="H24" s="96">
        <f>'2.1.c Insumos'!F55/12</f>
        <v>121.25333333333333</v>
      </c>
    </row>
    <row r="25" spans="2:16" x14ac:dyDescent="0.2">
      <c r="D25" s="40" t="s">
        <v>578</v>
      </c>
      <c r="E25" s="40" t="s">
        <v>116</v>
      </c>
      <c r="F25" s="103"/>
      <c r="G25" s="100" t="s">
        <v>19</v>
      </c>
      <c r="H25" s="96">
        <v>4928.1000000000004</v>
      </c>
    </row>
    <row r="26" spans="2:16" x14ac:dyDescent="0.2">
      <c r="D26" s="40" t="s">
        <v>579</v>
      </c>
      <c r="E26" s="40" t="s">
        <v>117</v>
      </c>
      <c r="F26" s="103"/>
      <c r="G26" s="100" t="s">
        <v>19</v>
      </c>
      <c r="H26" s="96">
        <f>'2.1.c Insumos'!F57/12</f>
        <v>0</v>
      </c>
    </row>
    <row r="27" spans="2:16" x14ac:dyDescent="0.2">
      <c r="D27" s="40" t="s">
        <v>580</v>
      </c>
      <c r="E27" s="40" t="s">
        <v>585</v>
      </c>
      <c r="F27" s="104"/>
      <c r="G27" s="100" t="s">
        <v>19</v>
      </c>
      <c r="H27" s="96">
        <f>'2.1.c Insumos'!F83</f>
        <v>0</v>
      </c>
    </row>
    <row r="28" spans="2:16" x14ac:dyDescent="0.2">
      <c r="F28" s="41"/>
      <c r="G28" s="41"/>
    </row>
    <row r="29" spans="2:16" s="60" customFormat="1" x14ac:dyDescent="0.2"/>
    <row r="30" spans="2:16" x14ac:dyDescent="0.2">
      <c r="B30" s="293" t="s">
        <v>581</v>
      </c>
      <c r="C30" s="614" t="s">
        <v>99</v>
      </c>
      <c r="D30" s="614"/>
      <c r="E30" s="615"/>
      <c r="F30" s="97" t="s">
        <v>19</v>
      </c>
      <c r="G30" s="99"/>
      <c r="H30" s="98">
        <f>1136+4485</f>
        <v>5621</v>
      </c>
    </row>
    <row r="31" spans="2:16" x14ac:dyDescent="0.2">
      <c r="B31" s="293" t="s">
        <v>582</v>
      </c>
      <c r="C31" s="614" t="s">
        <v>100</v>
      </c>
      <c r="D31" s="614"/>
      <c r="E31" s="615"/>
      <c r="F31" s="97" t="s">
        <v>19</v>
      </c>
      <c r="G31" s="99"/>
      <c r="H31" s="98">
        <f>'2.1.c Insumos'!F87</f>
        <v>0</v>
      </c>
    </row>
    <row r="32" spans="2:16" s="60" customFormat="1" x14ac:dyDescent="0.2">
      <c r="B32" s="294" t="s">
        <v>583</v>
      </c>
      <c r="C32" s="295" t="s">
        <v>584</v>
      </c>
      <c r="D32" s="296"/>
      <c r="E32" s="296"/>
      <c r="F32" s="97" t="s">
        <v>19</v>
      </c>
      <c r="G32" s="99"/>
      <c r="H32" s="98">
        <f>'2.1.c Insumos'!F88</f>
        <v>4000</v>
      </c>
    </row>
    <row r="36" spans="2:4" x14ac:dyDescent="0.2">
      <c r="B36" s="294"/>
      <c r="C36" s="77"/>
      <c r="D36" s="77"/>
    </row>
    <row r="64" spans="12:12" ht="15" x14ac:dyDescent="0.25">
      <c r="L64" s="6"/>
    </row>
  </sheetData>
  <mergeCells count="8">
    <mergeCell ref="C31:E31"/>
    <mergeCell ref="C22:E22"/>
    <mergeCell ref="C18:E18"/>
    <mergeCell ref="J3:M3"/>
    <mergeCell ref="C10:E10"/>
    <mergeCell ref="C3:E3"/>
    <mergeCell ref="B1:E1"/>
    <mergeCell ref="C30:E30"/>
  </mergeCell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tabColor theme="4" tint="0.39997558519241921"/>
  </sheetPr>
  <dimension ref="A1"/>
  <sheetViews>
    <sheetView topLeftCell="A10" workbookViewId="0"/>
  </sheetViews>
  <sheetFormatPr defaultRowHeight="12.75" x14ac:dyDescent="0.2"/>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3">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4">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5">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6">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7">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8">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9">
    <tabColor theme="4" tint="0.39997558519241921"/>
  </sheetPr>
  <dimension ref="A1"/>
  <sheetViews>
    <sheetView topLeftCell="B1" workbookViewId="0"/>
  </sheetViews>
  <sheetFormatPr defaultRowHeight="12.75" x14ac:dyDescent="0.2"/>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tabColor theme="9" tint="0.59999389629810485"/>
    <pageSetUpPr fitToPage="1"/>
  </sheetPr>
  <dimension ref="A1:M60"/>
  <sheetViews>
    <sheetView topLeftCell="A30" workbookViewId="0">
      <selection activeCell="B60" sqref="B60"/>
    </sheetView>
  </sheetViews>
  <sheetFormatPr defaultColWidth="0" defaultRowHeight="15" zeroHeight="1" x14ac:dyDescent="0.25"/>
  <cols>
    <col min="1" max="1" width="4.28515625" style="6" customWidth="1"/>
    <col min="2" max="2" width="15.42578125" style="6" customWidth="1"/>
    <col min="3" max="3" width="20.28515625" style="6" customWidth="1"/>
    <col min="4" max="9" width="12.7109375" style="6" bestFit="1" customWidth="1"/>
    <col min="10" max="12" width="10.28515625" style="6" customWidth="1"/>
    <col min="13" max="13" width="9.42578125" style="6" customWidth="1"/>
    <col min="14" max="14" width="9.140625" style="6" customWidth="1"/>
    <col min="15" max="16384" width="0" style="6" hidden="1"/>
  </cols>
  <sheetData>
    <row r="1" spans="1:12" ht="15.75" thickBot="1" x14ac:dyDescent="0.3">
      <c r="A1" s="517" t="s">
        <v>452</v>
      </c>
      <c r="B1" s="517"/>
      <c r="C1" s="517"/>
      <c r="D1" s="517"/>
      <c r="E1" s="517"/>
      <c r="F1" s="517"/>
      <c r="G1" s="517"/>
      <c r="H1" s="517"/>
      <c r="I1" s="517"/>
      <c r="J1" s="517"/>
      <c r="K1" s="517"/>
      <c r="L1" s="517"/>
    </row>
    <row r="2" spans="1:12" ht="15.75" thickBot="1" x14ac:dyDescent="0.3">
      <c r="A2" s="25"/>
      <c r="F2" s="25"/>
      <c r="G2" s="25"/>
      <c r="H2" s="518" t="s">
        <v>83</v>
      </c>
      <c r="I2" s="519"/>
      <c r="J2" s="519"/>
      <c r="K2" s="520"/>
      <c r="L2" s="25"/>
    </row>
    <row r="3" spans="1:12" x14ac:dyDescent="0.25">
      <c r="A3" s="283" t="s">
        <v>515</v>
      </c>
      <c r="B3" s="25"/>
      <c r="C3" s="25"/>
      <c r="F3" s="25"/>
      <c r="G3" s="25"/>
      <c r="H3" s="33"/>
      <c r="I3" s="64"/>
      <c r="J3" s="64"/>
      <c r="K3" s="34"/>
      <c r="L3" s="25"/>
    </row>
    <row r="4" spans="1:12" x14ac:dyDescent="0.25">
      <c r="A4" s="25"/>
      <c r="B4" s="25"/>
      <c r="C4" s="25"/>
      <c r="F4" s="25"/>
      <c r="G4" s="25"/>
      <c r="H4" s="35"/>
      <c r="I4" s="2"/>
      <c r="J4" s="44" t="s">
        <v>81</v>
      </c>
      <c r="K4" s="36"/>
      <c r="L4" s="25"/>
    </row>
    <row r="5" spans="1:12" x14ac:dyDescent="0.25">
      <c r="B5" s="284" t="s">
        <v>445</v>
      </c>
      <c r="C5" s="279"/>
      <c r="D5" s="463">
        <v>0</v>
      </c>
      <c r="F5" s="25"/>
      <c r="G5" s="25"/>
      <c r="H5" s="35"/>
      <c r="I5" s="4"/>
      <c r="J5" s="44" t="s">
        <v>93</v>
      </c>
      <c r="K5" s="36"/>
      <c r="L5" s="25"/>
    </row>
    <row r="6" spans="1:12" x14ac:dyDescent="0.25">
      <c r="B6" s="284" t="s">
        <v>446</v>
      </c>
      <c r="C6" s="279"/>
      <c r="D6" s="463">
        <v>0</v>
      </c>
      <c r="F6" s="25"/>
      <c r="G6" s="25"/>
      <c r="H6" s="35"/>
      <c r="I6" s="43"/>
      <c r="J6" s="44" t="s">
        <v>82</v>
      </c>
      <c r="K6" s="36"/>
      <c r="L6" s="25"/>
    </row>
    <row r="7" spans="1:12" ht="15.75" thickBot="1" x14ac:dyDescent="0.3">
      <c r="B7" s="284" t="s">
        <v>447</v>
      </c>
      <c r="C7" s="279"/>
      <c r="D7" s="463">
        <v>0</v>
      </c>
      <c r="F7" s="25"/>
      <c r="G7" s="25"/>
      <c r="H7" s="37"/>
      <c r="I7" s="38"/>
      <c r="J7" s="38"/>
      <c r="K7" s="39"/>
      <c r="L7" s="25"/>
    </row>
    <row r="8" spans="1:12" x14ac:dyDescent="0.25">
      <c r="B8" s="284" t="s">
        <v>448</v>
      </c>
      <c r="C8" s="279"/>
      <c r="D8" s="463">
        <v>0</v>
      </c>
      <c r="F8" s="25"/>
      <c r="G8" s="25"/>
      <c r="H8" s="25"/>
      <c r="I8" s="25"/>
      <c r="J8" s="25"/>
      <c r="K8" s="25"/>
      <c r="L8" s="25"/>
    </row>
    <row r="9" spans="1:12" x14ac:dyDescent="0.25">
      <c r="B9" s="284" t="s">
        <v>449</v>
      </c>
      <c r="C9" s="279"/>
      <c r="D9" s="447">
        <v>0</v>
      </c>
      <c r="F9" s="25"/>
      <c r="G9" s="25"/>
      <c r="H9" s="25"/>
      <c r="I9" s="25"/>
      <c r="J9" s="25"/>
      <c r="K9" s="25"/>
      <c r="L9" s="25"/>
    </row>
    <row r="10" spans="1:12" x14ac:dyDescent="0.25">
      <c r="D10" s="25"/>
      <c r="E10" s="25"/>
      <c r="F10" s="25"/>
      <c r="G10" s="25"/>
      <c r="H10" s="25"/>
      <c r="I10" s="25"/>
      <c r="J10" s="25"/>
      <c r="K10" s="25"/>
      <c r="L10" s="25"/>
    </row>
    <row r="11" spans="1:12" x14ac:dyDescent="0.25">
      <c r="B11" s="280" t="s">
        <v>450</v>
      </c>
      <c r="C11" s="281"/>
      <c r="D11" s="282">
        <f>D5+D6+D7+D8+D9+D57</f>
        <v>0</v>
      </c>
      <c r="E11" s="25"/>
      <c r="F11" s="25"/>
      <c r="G11" s="25"/>
      <c r="H11" s="25"/>
      <c r="I11" s="25"/>
      <c r="J11" s="25"/>
      <c r="K11" s="25"/>
      <c r="L11" s="25"/>
    </row>
    <row r="12" spans="1:12" x14ac:dyDescent="0.25">
      <c r="A12" s="25"/>
      <c r="B12" s="25"/>
      <c r="C12" s="25"/>
      <c r="D12" s="25"/>
      <c r="E12" s="25"/>
      <c r="F12" s="25"/>
      <c r="G12" s="25"/>
      <c r="H12" s="25"/>
      <c r="I12" s="25"/>
      <c r="J12" s="25"/>
      <c r="K12" s="25"/>
      <c r="L12" s="25"/>
    </row>
    <row r="13" spans="1:12" x14ac:dyDescent="0.25">
      <c r="A13" s="283" t="s">
        <v>451</v>
      </c>
      <c r="B13" s="25"/>
      <c r="C13" s="25"/>
      <c r="D13" s="25"/>
      <c r="E13" s="25"/>
      <c r="F13" s="25"/>
      <c r="G13" s="25"/>
      <c r="H13" s="25"/>
      <c r="I13" s="25"/>
      <c r="J13" s="25"/>
      <c r="K13" s="25"/>
      <c r="L13" s="25"/>
    </row>
    <row r="14" spans="1:12" x14ac:dyDescent="0.25">
      <c r="A14" s="283"/>
      <c r="B14" s="25"/>
      <c r="C14" s="25"/>
      <c r="D14" s="25"/>
      <c r="E14" s="25"/>
      <c r="F14" s="25"/>
      <c r="G14" s="25"/>
      <c r="H14" s="25"/>
      <c r="I14" s="25"/>
      <c r="J14" s="25"/>
      <c r="K14" s="25"/>
      <c r="L14" s="25"/>
    </row>
    <row r="15" spans="1:12" x14ac:dyDescent="0.25">
      <c r="A15" s="27" t="s">
        <v>456</v>
      </c>
      <c r="B15" s="27"/>
      <c r="C15" s="27"/>
      <c r="D15" s="27"/>
      <c r="E15" s="27"/>
      <c r="F15" s="27"/>
      <c r="G15" s="27"/>
      <c r="H15" s="27"/>
      <c r="I15" s="27"/>
      <c r="J15" s="27"/>
      <c r="K15" s="27"/>
      <c r="L15" s="27"/>
    </row>
    <row r="16" spans="1:12" x14ac:dyDescent="0.25">
      <c r="A16" s="27"/>
      <c r="B16" s="27"/>
      <c r="C16" s="27"/>
      <c r="D16" s="27"/>
      <c r="E16" s="27"/>
      <c r="F16" s="27"/>
      <c r="G16" s="27"/>
      <c r="H16" s="27"/>
      <c r="I16" s="27"/>
      <c r="J16" s="27"/>
      <c r="K16" s="27"/>
      <c r="L16" s="27"/>
    </row>
    <row r="17" spans="1:13" ht="15.75" customHeight="1" x14ac:dyDescent="0.25">
      <c r="B17" s="521" t="s">
        <v>444</v>
      </c>
      <c r="C17" s="522"/>
      <c r="D17" s="522"/>
      <c r="E17" s="522"/>
      <c r="F17" s="522"/>
      <c r="G17" s="522"/>
      <c r="H17" s="522"/>
      <c r="I17" s="522"/>
      <c r="J17" s="522"/>
      <c r="K17" s="523"/>
    </row>
    <row r="18" spans="1:13" ht="18" customHeight="1" x14ac:dyDescent="0.25">
      <c r="B18" s="273" t="s">
        <v>434</v>
      </c>
      <c r="C18" s="273" t="s">
        <v>435</v>
      </c>
      <c r="D18" s="273" t="s">
        <v>436</v>
      </c>
      <c r="E18" s="273" t="s">
        <v>437</v>
      </c>
      <c r="F18" s="273" t="s">
        <v>438</v>
      </c>
      <c r="G18" s="273" t="s">
        <v>439</v>
      </c>
      <c r="H18" s="273" t="s">
        <v>440</v>
      </c>
      <c r="I18" s="273" t="s">
        <v>441</v>
      </c>
      <c r="J18" s="273" t="s">
        <v>442</v>
      </c>
      <c r="K18" s="273" t="s">
        <v>443</v>
      </c>
    </row>
    <row r="19" spans="1:13" ht="15" customHeight="1" x14ac:dyDescent="0.25">
      <c r="B19" s="1"/>
      <c r="C19" s="1"/>
      <c r="D19" s="1"/>
      <c r="E19" s="1"/>
      <c r="F19" s="1"/>
      <c r="G19" s="1"/>
      <c r="H19" s="1"/>
      <c r="I19" s="1"/>
      <c r="J19" s="1"/>
      <c r="K19" s="1"/>
    </row>
    <row r="20" spans="1:13" x14ac:dyDescent="0.25">
      <c r="B20" s="7"/>
      <c r="C20" s="7"/>
      <c r="D20" s="7"/>
      <c r="E20" s="7"/>
      <c r="F20" s="7"/>
      <c r="G20" s="7"/>
      <c r="H20" s="7"/>
      <c r="I20" s="7"/>
      <c r="J20" s="7"/>
      <c r="K20" s="7"/>
      <c r="L20" s="7"/>
      <c r="M20" s="46"/>
    </row>
    <row r="21" spans="1:13" x14ac:dyDescent="0.25">
      <c r="A21" s="25" t="s">
        <v>453</v>
      </c>
      <c r="B21" s="25"/>
      <c r="C21" s="25"/>
      <c r="D21" s="25"/>
      <c r="E21" s="25"/>
      <c r="F21" s="7"/>
      <c r="G21" s="7"/>
      <c r="H21" s="7"/>
      <c r="I21" s="7"/>
      <c r="J21" s="7"/>
      <c r="K21" s="7"/>
      <c r="L21" s="7"/>
      <c r="M21" s="46"/>
    </row>
    <row r="22" spans="1:13" x14ac:dyDescent="0.25">
      <c r="A22" s="119"/>
      <c r="B22" s="531" t="s">
        <v>203</v>
      </c>
      <c r="C22" s="531"/>
      <c r="D22" s="120" t="s">
        <v>908</v>
      </c>
      <c r="E22" s="25" t="s">
        <v>454</v>
      </c>
      <c r="F22" s="7"/>
      <c r="G22" s="7"/>
      <c r="H22" s="7"/>
      <c r="I22" s="7"/>
      <c r="J22" s="7"/>
      <c r="K22" s="7"/>
      <c r="L22" s="7"/>
      <c r="M22" s="46"/>
    </row>
    <row r="23" spans="1:13" ht="15" customHeight="1" x14ac:dyDescent="0.25">
      <c r="A23" s="119"/>
      <c r="B23" s="528" t="s">
        <v>218</v>
      </c>
      <c r="C23" s="528"/>
      <c r="D23" s="120"/>
      <c r="E23" s="25" t="s">
        <v>455</v>
      </c>
      <c r="F23" s="7"/>
      <c r="G23" s="7"/>
      <c r="H23" s="7"/>
      <c r="I23" s="7"/>
      <c r="J23" s="7"/>
      <c r="K23" s="7"/>
      <c r="L23" s="7"/>
      <c r="M23" s="46"/>
    </row>
    <row r="24" spans="1:13" x14ac:dyDescent="0.25">
      <c r="B24" s="7"/>
      <c r="C24" s="7"/>
      <c r="D24" s="7"/>
      <c r="E24" s="7"/>
      <c r="F24" s="7"/>
      <c r="G24" s="7"/>
      <c r="H24" s="7"/>
      <c r="I24" s="7"/>
      <c r="J24" s="7"/>
      <c r="K24" s="7"/>
      <c r="L24" s="7"/>
      <c r="M24" s="46"/>
    </row>
    <row r="25" spans="1:13" x14ac:dyDescent="0.25">
      <c r="A25" s="27" t="s">
        <v>470</v>
      </c>
      <c r="B25" s="27"/>
      <c r="C25" s="27"/>
      <c r="D25" s="27"/>
      <c r="E25" s="27"/>
      <c r="F25" s="27"/>
      <c r="G25" s="27"/>
      <c r="H25" s="27"/>
      <c r="I25" s="27"/>
      <c r="J25" s="27"/>
      <c r="K25" s="27"/>
      <c r="L25" s="27"/>
      <c r="M25" s="46"/>
    </row>
    <row r="26" spans="1:13" x14ac:dyDescent="0.25">
      <c r="A26" s="27"/>
      <c r="B26" s="27"/>
      <c r="C26" s="27"/>
      <c r="D26" s="27"/>
      <c r="E26" s="27"/>
      <c r="F26" s="27"/>
      <c r="G26" s="27"/>
      <c r="H26" s="27"/>
      <c r="I26" s="27"/>
      <c r="J26" s="27"/>
      <c r="K26" s="27"/>
      <c r="L26" s="27"/>
      <c r="M26" s="46"/>
    </row>
    <row r="27" spans="1:13" x14ac:dyDescent="0.25">
      <c r="B27" s="7"/>
      <c r="C27" s="524" t="s">
        <v>469</v>
      </c>
      <c r="D27" s="524"/>
      <c r="E27" s="524"/>
      <c r="F27" s="524"/>
      <c r="G27" s="524"/>
      <c r="H27" s="524"/>
      <c r="I27" s="524"/>
      <c r="J27" s="524"/>
      <c r="K27" s="524"/>
      <c r="L27" s="524"/>
    </row>
    <row r="28" spans="1:13" ht="18" customHeight="1" x14ac:dyDescent="0.25">
      <c r="B28" s="7"/>
      <c r="C28" s="273" t="s">
        <v>434</v>
      </c>
      <c r="D28" s="273" t="s">
        <v>435</v>
      </c>
      <c r="E28" s="273" t="s">
        <v>436</v>
      </c>
      <c r="F28" s="273" t="s">
        <v>437</v>
      </c>
      <c r="G28" s="273" t="s">
        <v>438</v>
      </c>
      <c r="H28" s="273" t="s">
        <v>439</v>
      </c>
      <c r="I28" s="273" t="s">
        <v>440</v>
      </c>
      <c r="J28" s="273" t="s">
        <v>441</v>
      </c>
      <c r="K28" s="273" t="s">
        <v>442</v>
      </c>
      <c r="L28" s="273" t="s">
        <v>443</v>
      </c>
    </row>
    <row r="29" spans="1:13" x14ac:dyDescent="0.25">
      <c r="A29" s="525" t="s">
        <v>0</v>
      </c>
      <c r="B29" s="273" t="s">
        <v>457</v>
      </c>
      <c r="C29" s="466"/>
      <c r="D29" s="2"/>
      <c r="E29" s="2"/>
      <c r="F29" s="2"/>
      <c r="G29" s="2"/>
      <c r="H29" s="2"/>
      <c r="I29" s="2"/>
      <c r="J29" s="2"/>
      <c r="K29" s="2"/>
      <c r="L29" s="2"/>
    </row>
    <row r="30" spans="1:13" x14ac:dyDescent="0.25">
      <c r="A30" s="526"/>
      <c r="B30" s="273" t="s">
        <v>458</v>
      </c>
      <c r="C30" s="466"/>
      <c r="D30" s="2"/>
      <c r="E30" s="2"/>
      <c r="F30" s="2"/>
      <c r="G30" s="2"/>
      <c r="H30" s="2"/>
      <c r="I30" s="2"/>
      <c r="J30" s="2"/>
      <c r="K30" s="2"/>
      <c r="L30" s="2"/>
    </row>
    <row r="31" spans="1:13" x14ac:dyDescent="0.25">
      <c r="A31" s="526"/>
      <c r="B31" s="273" t="s">
        <v>459</v>
      </c>
      <c r="C31" s="466"/>
      <c r="D31" s="2"/>
      <c r="E31" s="2"/>
      <c r="F31" s="2"/>
      <c r="G31" s="2"/>
      <c r="H31" s="2"/>
      <c r="I31" s="2"/>
      <c r="J31" s="2"/>
      <c r="K31" s="2"/>
      <c r="L31" s="2"/>
    </row>
    <row r="32" spans="1:13" x14ac:dyDescent="0.25">
      <c r="A32" s="526"/>
      <c r="B32" s="273" t="s">
        <v>460</v>
      </c>
      <c r="C32" s="466"/>
      <c r="D32" s="2"/>
      <c r="E32" s="2"/>
      <c r="F32" s="2"/>
      <c r="G32" s="2"/>
      <c r="H32" s="2"/>
      <c r="I32" s="2"/>
      <c r="J32" s="2"/>
      <c r="K32" s="2"/>
      <c r="L32" s="2"/>
    </row>
    <row r="33" spans="1:13" x14ac:dyDescent="0.25">
      <c r="A33" s="526"/>
      <c r="B33" s="273" t="s">
        <v>461</v>
      </c>
      <c r="C33" s="466"/>
      <c r="D33" s="2"/>
      <c r="E33" s="2"/>
      <c r="F33" s="2"/>
      <c r="G33" s="2"/>
      <c r="H33" s="2"/>
      <c r="I33" s="2"/>
      <c r="J33" s="2"/>
      <c r="K33" s="2"/>
      <c r="L33" s="2"/>
    </row>
    <row r="34" spans="1:13" x14ac:dyDescent="0.25">
      <c r="A34" s="526"/>
      <c r="B34" s="273" t="s">
        <v>462</v>
      </c>
      <c r="C34" s="466"/>
      <c r="D34" s="2"/>
      <c r="E34" s="2"/>
      <c r="F34" s="2"/>
      <c r="G34" s="2"/>
      <c r="H34" s="2"/>
      <c r="I34" s="2"/>
      <c r="J34" s="2"/>
      <c r="K34" s="2"/>
      <c r="L34" s="2"/>
    </row>
    <row r="35" spans="1:13" x14ac:dyDescent="0.25">
      <c r="A35" s="526"/>
      <c r="B35" s="273" t="s">
        <v>463</v>
      </c>
      <c r="C35" s="466"/>
      <c r="D35" s="2"/>
      <c r="E35" s="2"/>
      <c r="F35" s="2"/>
      <c r="G35" s="2"/>
      <c r="H35" s="2"/>
      <c r="I35" s="2"/>
      <c r="J35" s="2"/>
      <c r="K35" s="2"/>
      <c r="L35" s="2"/>
    </row>
    <row r="36" spans="1:13" x14ac:dyDescent="0.25">
      <c r="A36" s="526"/>
      <c r="B36" s="273" t="s">
        <v>464</v>
      </c>
      <c r="C36" s="466"/>
      <c r="D36" s="2"/>
      <c r="E36" s="2"/>
      <c r="F36" s="2"/>
      <c r="G36" s="2"/>
      <c r="H36" s="2"/>
      <c r="I36" s="2"/>
      <c r="J36" s="2"/>
      <c r="K36" s="2"/>
      <c r="L36" s="2"/>
    </row>
    <row r="37" spans="1:13" ht="15" customHeight="1" x14ac:dyDescent="0.25">
      <c r="A37" s="526"/>
      <c r="B37" s="273" t="s">
        <v>465</v>
      </c>
      <c r="C37" s="466"/>
      <c r="D37" s="2"/>
      <c r="E37" s="2"/>
      <c r="F37" s="2"/>
      <c r="G37" s="2"/>
      <c r="H37" s="2"/>
      <c r="I37" s="2"/>
      <c r="J37" s="2"/>
      <c r="K37" s="2"/>
      <c r="L37" s="2"/>
    </row>
    <row r="38" spans="1:13" x14ac:dyDescent="0.25">
      <c r="A38" s="526"/>
      <c r="B38" s="273" t="s">
        <v>466</v>
      </c>
      <c r="C38" s="466"/>
      <c r="D38" s="2"/>
      <c r="E38" s="2"/>
      <c r="F38" s="2"/>
      <c r="G38" s="2"/>
      <c r="H38" s="2"/>
      <c r="I38" s="2"/>
      <c r="J38" s="2"/>
      <c r="K38" s="2"/>
      <c r="L38" s="2"/>
    </row>
    <row r="39" spans="1:13" x14ac:dyDescent="0.25">
      <c r="A39" s="526"/>
      <c r="B39" s="273" t="s">
        <v>467</v>
      </c>
      <c r="C39" s="466"/>
      <c r="D39" s="2"/>
      <c r="E39" s="2"/>
      <c r="F39" s="2"/>
      <c r="G39" s="2"/>
      <c r="H39" s="2"/>
      <c r="I39" s="2"/>
      <c r="J39" s="2"/>
      <c r="K39" s="2"/>
      <c r="L39" s="2"/>
    </row>
    <row r="40" spans="1:13" x14ac:dyDescent="0.25">
      <c r="A40" s="527"/>
      <c r="B40" s="273" t="s">
        <v>468</v>
      </c>
      <c r="C40" s="466"/>
      <c r="D40" s="2"/>
      <c r="E40" s="2"/>
      <c r="F40" s="2"/>
      <c r="G40" s="2"/>
      <c r="H40" s="2"/>
      <c r="I40" s="2"/>
      <c r="J40" s="2"/>
      <c r="K40" s="2"/>
      <c r="L40" s="2"/>
    </row>
    <row r="41" spans="1:13" x14ac:dyDescent="0.25">
      <c r="B41" s="7"/>
      <c r="C41" s="7"/>
      <c r="D41" s="7"/>
      <c r="E41" s="7"/>
      <c r="F41" s="7"/>
      <c r="G41" s="7"/>
      <c r="H41" s="7"/>
      <c r="I41" s="7"/>
      <c r="J41" s="7"/>
      <c r="K41" s="7"/>
      <c r="L41" s="7"/>
    </row>
    <row r="42" spans="1:13" x14ac:dyDescent="0.25">
      <c r="A42" s="27" t="s">
        <v>471</v>
      </c>
      <c r="B42" s="27"/>
      <c r="C42" s="27"/>
      <c r="D42" s="27"/>
      <c r="E42" s="27"/>
      <c r="F42" s="27"/>
      <c r="G42" s="27"/>
      <c r="H42" s="27"/>
      <c r="I42" s="27"/>
      <c r="J42" s="27"/>
      <c r="K42" s="27"/>
      <c r="L42" s="27"/>
    </row>
    <row r="43" spans="1:13" x14ac:dyDescent="0.25">
      <c r="A43" s="25"/>
      <c r="B43" s="25"/>
      <c r="C43" s="25"/>
      <c r="D43" s="25"/>
      <c r="E43" s="25"/>
      <c r="F43" s="25"/>
      <c r="G43" s="25"/>
      <c r="H43" s="25"/>
      <c r="I43" s="25"/>
      <c r="J43" s="25"/>
      <c r="K43" s="25"/>
      <c r="L43" s="25"/>
    </row>
    <row r="44" spans="1:13" ht="18" customHeight="1" x14ac:dyDescent="0.25">
      <c r="A44" s="25"/>
      <c r="B44" s="25"/>
      <c r="C44" s="273" t="s">
        <v>434</v>
      </c>
      <c r="D44" s="273" t="s">
        <v>435</v>
      </c>
      <c r="E44" s="273" t="s">
        <v>436</v>
      </c>
      <c r="F44" s="273" t="s">
        <v>437</v>
      </c>
      <c r="G44" s="273" t="s">
        <v>438</v>
      </c>
      <c r="H44" s="273" t="s">
        <v>439</v>
      </c>
      <c r="I44" s="273" t="s">
        <v>440</v>
      </c>
      <c r="J44" s="273" t="s">
        <v>441</v>
      </c>
      <c r="K44" s="273" t="s">
        <v>442</v>
      </c>
      <c r="L44" s="273" t="s">
        <v>443</v>
      </c>
      <c r="M44" s="45"/>
    </row>
    <row r="45" spans="1:13" x14ac:dyDescent="0.25">
      <c r="A45" s="533" t="s">
        <v>217</v>
      </c>
      <c r="B45" s="533"/>
      <c r="C45" s="529"/>
      <c r="D45" s="529"/>
      <c r="E45" s="529"/>
      <c r="F45" s="529"/>
      <c r="G45" s="529"/>
      <c r="H45" s="529"/>
      <c r="I45" s="529"/>
      <c r="J45" s="529"/>
      <c r="K45" s="529"/>
      <c r="L45" s="529"/>
      <c r="M45" s="45"/>
    </row>
    <row r="46" spans="1:13" x14ac:dyDescent="0.25">
      <c r="A46" s="533"/>
      <c r="B46" s="533"/>
      <c r="C46" s="530"/>
      <c r="D46" s="530"/>
      <c r="E46" s="530"/>
      <c r="F46" s="530"/>
      <c r="G46" s="530"/>
      <c r="H46" s="530"/>
      <c r="I46" s="530"/>
      <c r="J46" s="530"/>
      <c r="K46" s="530"/>
      <c r="L46" s="530"/>
      <c r="M46" s="45"/>
    </row>
    <row r="47" spans="1:13" x14ac:dyDescent="0.25"/>
    <row r="48" spans="1:13" x14ac:dyDescent="0.25">
      <c r="A48" s="534" t="s">
        <v>472</v>
      </c>
      <c r="B48" s="534"/>
      <c r="C48" s="534"/>
      <c r="D48" s="534"/>
      <c r="E48" s="534"/>
      <c r="F48" s="534"/>
      <c r="G48" s="534"/>
      <c r="H48" s="534"/>
      <c r="I48" s="534"/>
      <c r="J48" s="534"/>
      <c r="K48" s="534"/>
      <c r="L48" s="534"/>
    </row>
    <row r="49" spans="1:12" x14ac:dyDescent="0.25">
      <c r="A49" s="25"/>
      <c r="B49" s="25"/>
      <c r="C49" s="25"/>
      <c r="D49" s="25"/>
      <c r="E49" s="25"/>
      <c r="F49" s="25"/>
      <c r="G49" s="25"/>
      <c r="H49" s="25"/>
      <c r="I49" s="25"/>
      <c r="J49" s="25"/>
      <c r="K49" s="25"/>
      <c r="L49" s="25"/>
    </row>
    <row r="50" spans="1:12" x14ac:dyDescent="0.25">
      <c r="C50" s="532" t="s">
        <v>473</v>
      </c>
      <c r="D50" s="532"/>
      <c r="E50" s="532"/>
      <c r="F50" s="532"/>
      <c r="G50" s="532"/>
      <c r="H50" s="532"/>
      <c r="I50" s="532"/>
      <c r="J50" s="532"/>
      <c r="K50" s="532"/>
      <c r="L50" s="532"/>
    </row>
    <row r="51" spans="1:12" ht="18" x14ac:dyDescent="0.25">
      <c r="C51" s="66" t="s">
        <v>30</v>
      </c>
      <c r="D51" s="66" t="s">
        <v>31</v>
      </c>
      <c r="E51" s="66" t="s">
        <v>32</v>
      </c>
      <c r="F51" s="66" t="s">
        <v>33</v>
      </c>
      <c r="G51" s="66" t="s">
        <v>34</v>
      </c>
      <c r="H51" s="66" t="s">
        <v>35</v>
      </c>
      <c r="I51" s="66" t="s">
        <v>36</v>
      </c>
      <c r="J51" s="66" t="s">
        <v>37</v>
      </c>
      <c r="K51" s="66" t="s">
        <v>38</v>
      </c>
      <c r="L51" s="66" t="s">
        <v>39</v>
      </c>
    </row>
    <row r="52" spans="1:12" x14ac:dyDescent="0.25">
      <c r="C52" s="67" t="str">
        <f>IFERROR(IF($D$22&lt;&gt;0,AVERAGE(C29:C40)*B19,C45*B19),"")</f>
        <v/>
      </c>
      <c r="D52" s="67" t="str">
        <f t="shared" ref="D52:L52" si="0">IFERROR(IF($D$22&lt;&gt;0,AVERAGE(D29:D40)*C19,D45*C19),"")</f>
        <v/>
      </c>
      <c r="E52" s="67" t="str">
        <f t="shared" si="0"/>
        <v/>
      </c>
      <c r="F52" s="67" t="str">
        <f t="shared" si="0"/>
        <v/>
      </c>
      <c r="G52" s="67" t="str">
        <f t="shared" si="0"/>
        <v/>
      </c>
      <c r="H52" s="67" t="str">
        <f t="shared" si="0"/>
        <v/>
      </c>
      <c r="I52" s="67" t="str">
        <f t="shared" si="0"/>
        <v/>
      </c>
      <c r="J52" s="67" t="str">
        <f t="shared" si="0"/>
        <v/>
      </c>
      <c r="K52" s="67" t="str">
        <f t="shared" si="0"/>
        <v/>
      </c>
      <c r="L52" s="67" t="str">
        <f t="shared" si="0"/>
        <v/>
      </c>
    </row>
    <row r="53" spans="1:12" x14ac:dyDescent="0.25"/>
    <row r="54" spans="1:12" x14ac:dyDescent="0.25"/>
    <row r="55" spans="1:12" x14ac:dyDescent="0.25">
      <c r="A55" s="27" t="s">
        <v>837</v>
      </c>
      <c r="B55" s="27"/>
      <c r="C55" s="27"/>
      <c r="D55" s="27"/>
      <c r="E55" s="27"/>
      <c r="F55" s="27"/>
      <c r="G55" s="27"/>
      <c r="H55" s="27"/>
      <c r="I55" s="27"/>
      <c r="J55" s="27"/>
      <c r="K55" s="27"/>
      <c r="L55" s="27"/>
    </row>
    <row r="56" spans="1:12" x14ac:dyDescent="0.25"/>
    <row r="57" spans="1:12" x14ac:dyDescent="0.25">
      <c r="B57" s="284" t="s">
        <v>826</v>
      </c>
      <c r="C57" s="279"/>
      <c r="D57" s="373"/>
    </row>
    <row r="58" spans="1:12" x14ac:dyDescent="0.25"/>
    <row r="59" spans="1:12" x14ac:dyDescent="0.25"/>
    <row r="60" spans="1:12" x14ac:dyDescent="0.25"/>
  </sheetData>
  <mergeCells count="20">
    <mergeCell ref="I45:I46"/>
    <mergeCell ref="J45:J46"/>
    <mergeCell ref="B22:C22"/>
    <mergeCell ref="C50:L50"/>
    <mergeCell ref="A45:B46"/>
    <mergeCell ref="C45:C46"/>
    <mergeCell ref="D45:D46"/>
    <mergeCell ref="E45:E46"/>
    <mergeCell ref="A48:L48"/>
    <mergeCell ref="K45:K46"/>
    <mergeCell ref="L45:L46"/>
    <mergeCell ref="F45:F46"/>
    <mergeCell ref="G45:G46"/>
    <mergeCell ref="H45:H46"/>
    <mergeCell ref="A1:L1"/>
    <mergeCell ref="H2:K2"/>
    <mergeCell ref="B17:K17"/>
    <mergeCell ref="C27:L27"/>
    <mergeCell ref="A29:A40"/>
    <mergeCell ref="B23:C23"/>
  </mergeCells>
  <phoneticPr fontId="0" type="noConversion"/>
  <pageMargins left="0.78740157499999996" right="0.78740157499999996" top="0.984251969" bottom="0.984251969" header="0.49212598499999999" footer="0.49212598499999999"/>
  <pageSetup paperSize="9" scale="5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20">
    <tabColor theme="4" tint="0.39997558519241921"/>
  </sheetPr>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21">
    <tabColor theme="4" tint="0.39997558519241921"/>
  </sheetPr>
  <dimension ref="A1:M53"/>
  <sheetViews>
    <sheetView workbookViewId="0">
      <selection activeCell="E11" sqref="E11"/>
    </sheetView>
  </sheetViews>
  <sheetFormatPr defaultColWidth="11.42578125" defaultRowHeight="12.75" x14ac:dyDescent="0.2"/>
  <cols>
    <col min="1" max="1" width="5.28515625" bestFit="1" customWidth="1"/>
    <col min="2" max="2" width="6.140625" style="40" customWidth="1"/>
    <col min="3" max="3" width="3.7109375" style="40" customWidth="1"/>
    <col min="4" max="4" width="7.85546875" style="40" bestFit="1" customWidth="1"/>
    <col min="5" max="5" width="53.7109375" style="40" customWidth="1"/>
    <col min="6" max="6" width="3.28515625" style="42" bestFit="1" customWidth="1"/>
    <col min="7" max="7" width="3.28515625" style="42" customWidth="1"/>
    <col min="8" max="8" width="16.42578125" style="95" bestFit="1" customWidth="1"/>
    <col min="9" max="9" width="11.42578125" customWidth="1"/>
    <col min="10" max="10" width="1.7109375" customWidth="1"/>
    <col min="11" max="11" width="11.42578125" customWidth="1"/>
    <col min="12" max="12" width="38.7109375" bestFit="1" customWidth="1"/>
    <col min="13" max="13" width="1.28515625" customWidth="1"/>
  </cols>
  <sheetData>
    <row r="1" spans="1:13" x14ac:dyDescent="0.2">
      <c r="A1" s="76" t="s">
        <v>586</v>
      </c>
      <c r="B1" s="614" t="s">
        <v>196</v>
      </c>
      <c r="C1" s="614"/>
      <c r="D1" s="614"/>
      <c r="E1" s="614"/>
      <c r="F1" s="111" t="s">
        <v>19</v>
      </c>
      <c r="G1" s="112"/>
      <c r="H1" s="113">
        <f>(H3+H5)*('2.1.c Insumos'!F91/100)</f>
        <v>27779.48946447605</v>
      </c>
    </row>
    <row r="2" spans="1:13" ht="13.5" thickBot="1" x14ac:dyDescent="0.25"/>
    <row r="3" spans="1:13" ht="15.75" thickBot="1" x14ac:dyDescent="0.25">
      <c r="B3" s="76" t="s">
        <v>587</v>
      </c>
      <c r="C3" s="614" t="s">
        <v>194</v>
      </c>
      <c r="D3" s="614"/>
      <c r="E3" s="615"/>
      <c r="F3" s="101" t="s">
        <v>19</v>
      </c>
      <c r="G3" s="99"/>
      <c r="H3" s="98">
        <f>'2.1. Custo Variável'!E1</f>
        <v>156371.80851799998</v>
      </c>
      <c r="J3" s="518" t="s">
        <v>83</v>
      </c>
      <c r="K3" s="519"/>
      <c r="L3" s="519"/>
      <c r="M3" s="520"/>
    </row>
    <row r="4" spans="1:13" ht="15" x14ac:dyDescent="0.25">
      <c r="F4" s="41"/>
      <c r="G4" s="41"/>
      <c r="J4" s="33"/>
      <c r="K4" s="64"/>
      <c r="L4" s="64"/>
      <c r="M4" s="34"/>
    </row>
    <row r="5" spans="1:13" ht="15" x14ac:dyDescent="0.25">
      <c r="B5" s="76" t="s">
        <v>588</v>
      </c>
      <c r="C5" s="614" t="s">
        <v>195</v>
      </c>
      <c r="D5" s="614"/>
      <c r="E5" s="615"/>
      <c r="F5" s="101" t="s">
        <v>19</v>
      </c>
      <c r="G5" s="99"/>
      <c r="H5" s="98">
        <f>'2.2 Custo Fixo'!H1</f>
        <v>223648.56719302668</v>
      </c>
      <c r="J5" s="35"/>
      <c r="K5" s="2"/>
      <c r="L5" s="44" t="s">
        <v>81</v>
      </c>
      <c r="M5" s="36"/>
    </row>
    <row r="6" spans="1:13" ht="15" x14ac:dyDescent="0.25">
      <c r="F6" s="41"/>
      <c r="G6" s="41"/>
      <c r="J6" s="35"/>
      <c r="K6" s="4"/>
      <c r="L6" s="44" t="s">
        <v>93</v>
      </c>
      <c r="M6" s="36"/>
    </row>
    <row r="7" spans="1:13" ht="15.75" thickBot="1" x14ac:dyDescent="0.3">
      <c r="F7" s="41"/>
      <c r="G7" s="41"/>
      <c r="J7" s="37"/>
      <c r="K7" s="38"/>
      <c r="L7" s="38"/>
      <c r="M7" s="39"/>
    </row>
    <row r="17" spans="2:8" s="60" customFormat="1" ht="30" customHeight="1" x14ac:dyDescent="0.2">
      <c r="B17" s="40"/>
      <c r="C17" s="40"/>
      <c r="D17" s="40"/>
      <c r="E17" s="40"/>
      <c r="F17" s="42"/>
      <c r="G17" s="42"/>
      <c r="H17" s="95"/>
    </row>
    <row r="53" spans="12:12" ht="15" x14ac:dyDescent="0.25">
      <c r="L53" s="6"/>
    </row>
  </sheetData>
  <mergeCells count="4">
    <mergeCell ref="B1:E1"/>
    <mergeCell ref="C3:E3"/>
    <mergeCell ref="J3:M3"/>
    <mergeCell ref="C5:E5"/>
  </mergeCell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23">
    <tabColor theme="3"/>
  </sheetPr>
  <dimension ref="A1:P53"/>
  <sheetViews>
    <sheetView workbookViewId="0">
      <selection activeCell="I22" sqref="I22"/>
    </sheetView>
  </sheetViews>
  <sheetFormatPr defaultColWidth="11.42578125" defaultRowHeight="12.75" x14ac:dyDescent="0.2"/>
  <cols>
    <col min="1" max="1" width="5.28515625" bestFit="1" customWidth="1"/>
    <col min="2" max="2" width="6.140625" style="40" customWidth="1"/>
    <col min="3" max="3" width="3.7109375" style="40" customWidth="1"/>
    <col min="4" max="4" width="7.85546875" style="40" bestFit="1" customWidth="1"/>
    <col min="5" max="5" width="53.7109375" style="40" customWidth="1"/>
    <col min="6" max="6" width="3.28515625" style="42" bestFit="1" customWidth="1"/>
    <col min="7" max="7" width="3.28515625" style="42" customWidth="1"/>
    <col min="8" max="8" width="16.42578125" style="95" bestFit="1" customWidth="1"/>
    <col min="9" max="9" width="11.42578125" customWidth="1"/>
    <col min="10" max="10" width="1.7109375" customWidth="1"/>
    <col min="11" max="11" width="11.42578125" customWidth="1"/>
    <col min="12" max="12" width="38.7109375" bestFit="1" customWidth="1"/>
    <col min="13" max="13" width="1.28515625" customWidth="1"/>
    <col min="14" max="15" width="11.42578125" customWidth="1"/>
    <col min="16" max="16" width="16.28515625" bestFit="1" customWidth="1"/>
  </cols>
  <sheetData>
    <row r="1" spans="1:16" x14ac:dyDescent="0.2">
      <c r="A1" s="76" t="s">
        <v>901</v>
      </c>
      <c r="B1" s="614" t="s">
        <v>902</v>
      </c>
      <c r="C1" s="614"/>
      <c r="D1" s="614"/>
      <c r="E1" s="614"/>
      <c r="F1" s="111" t="s">
        <v>19</v>
      </c>
      <c r="G1" s="112"/>
      <c r="H1" s="140" t="e">
        <f>H3/H5</f>
        <v>#DIV/0!</v>
      </c>
      <c r="P1" s="180"/>
    </row>
    <row r="2" spans="1:16" ht="13.5" thickBot="1" x14ac:dyDescent="0.25"/>
    <row r="3" spans="1:16" ht="15.75" thickBot="1" x14ac:dyDescent="0.25">
      <c r="B3" s="76" t="s">
        <v>740</v>
      </c>
      <c r="C3" s="614" t="s">
        <v>207</v>
      </c>
      <c r="D3" s="614"/>
      <c r="E3" s="615"/>
      <c r="F3" s="101" t="s">
        <v>19</v>
      </c>
      <c r="G3" s="99"/>
      <c r="H3" s="98">
        <f>'4. Custo Total'!H1</f>
        <v>426926.15700952965</v>
      </c>
      <c r="J3" s="518" t="s">
        <v>83</v>
      </c>
      <c r="K3" s="519"/>
      <c r="L3" s="519"/>
      <c r="M3" s="520"/>
      <c r="P3" s="179"/>
    </row>
    <row r="4" spans="1:16" ht="15" x14ac:dyDescent="0.25">
      <c r="F4" s="41"/>
      <c r="G4" s="41"/>
      <c r="J4" s="33"/>
      <c r="K4" s="64"/>
      <c r="L4" s="64"/>
      <c r="M4" s="34"/>
    </row>
    <row r="5" spans="1:16" ht="15" x14ac:dyDescent="0.25">
      <c r="B5" s="76" t="s">
        <v>741</v>
      </c>
      <c r="C5" s="614" t="s">
        <v>903</v>
      </c>
      <c r="D5" s="614"/>
      <c r="E5" s="615"/>
      <c r="F5" s="101" t="s">
        <v>19</v>
      </c>
      <c r="G5" s="99"/>
      <c r="H5" s="444">
        <f>'1.1. Passageiros'!D11</f>
        <v>0</v>
      </c>
      <c r="J5" s="35"/>
      <c r="K5" s="2"/>
      <c r="L5" s="44" t="s">
        <v>81</v>
      </c>
      <c r="M5" s="36"/>
      <c r="P5" s="95"/>
    </row>
    <row r="6" spans="1:16" ht="15" x14ac:dyDescent="0.25">
      <c r="F6" s="41"/>
      <c r="G6" s="41"/>
      <c r="J6" s="35"/>
      <c r="K6" s="4"/>
      <c r="L6" s="44" t="s">
        <v>93</v>
      </c>
      <c r="M6" s="36"/>
    </row>
    <row r="7" spans="1:16" ht="15" x14ac:dyDescent="0.25">
      <c r="J7" s="35"/>
      <c r="K7" s="43"/>
      <c r="L7" s="44" t="s">
        <v>82</v>
      </c>
      <c r="M7" s="36"/>
    </row>
    <row r="8" spans="1:16" ht="15.75" thickBot="1" x14ac:dyDescent="0.3">
      <c r="J8" s="37"/>
      <c r="K8" s="38"/>
      <c r="L8" s="38"/>
      <c r="M8" s="39"/>
    </row>
    <row r="18" spans="2:8" s="60" customFormat="1" ht="30" customHeight="1" x14ac:dyDescent="0.2">
      <c r="B18" s="40"/>
      <c r="C18" s="40"/>
      <c r="D18" s="40"/>
      <c r="E18" s="40"/>
      <c r="F18" s="42"/>
      <c r="G18" s="42"/>
      <c r="H18" s="95"/>
    </row>
    <row r="53" spans="12:12" ht="15" x14ac:dyDescent="0.25">
      <c r="L53" s="6"/>
    </row>
  </sheetData>
  <mergeCells count="4">
    <mergeCell ref="B1:E1"/>
    <mergeCell ref="C3:E3"/>
    <mergeCell ref="J3:M3"/>
    <mergeCell ref="C5:E5"/>
  </mergeCells>
  <pageMargins left="0.51181102362204722" right="0.51181102362204722"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ilha24">
    <tabColor theme="3"/>
  </sheetPr>
  <dimension ref="A1:P53"/>
  <sheetViews>
    <sheetView workbookViewId="0">
      <selection activeCell="H1" sqref="H1"/>
    </sheetView>
  </sheetViews>
  <sheetFormatPr defaultColWidth="11.42578125" defaultRowHeight="12.75" x14ac:dyDescent="0.2"/>
  <cols>
    <col min="1" max="1" width="5.28515625" bestFit="1" customWidth="1"/>
    <col min="2" max="2" width="6.140625" style="40" customWidth="1"/>
    <col min="3" max="3" width="3.7109375" style="40" customWidth="1"/>
    <col min="4" max="4" width="7.85546875" style="40" bestFit="1" customWidth="1"/>
    <col min="5" max="5" width="53.7109375" style="40" customWidth="1"/>
    <col min="6" max="6" width="3.28515625" style="42" bestFit="1" customWidth="1"/>
    <col min="7" max="7" width="3.28515625" style="42" customWidth="1"/>
    <col min="8" max="8" width="16.42578125" style="95" bestFit="1" customWidth="1"/>
    <col min="9" max="9" width="11.42578125" customWidth="1"/>
    <col min="10" max="10" width="1.7109375" customWidth="1"/>
    <col min="11" max="11" width="11.42578125" customWidth="1"/>
    <col min="12" max="12" width="38.7109375" bestFit="1" customWidth="1"/>
    <col min="13" max="13" width="1.28515625" customWidth="1"/>
    <col min="14" max="15" width="11.42578125" customWidth="1"/>
    <col min="16" max="16" width="16.28515625" bestFit="1" customWidth="1"/>
  </cols>
  <sheetData>
    <row r="1" spans="1:16" x14ac:dyDescent="0.2">
      <c r="A1" s="76" t="s">
        <v>737</v>
      </c>
      <c r="B1" s="614" t="s">
        <v>736</v>
      </c>
      <c r="C1" s="614"/>
      <c r="D1" s="614"/>
      <c r="E1" s="614"/>
      <c r="F1" s="111" t="s">
        <v>19</v>
      </c>
      <c r="G1" s="112"/>
      <c r="H1" s="140" t="e">
        <f>(H3-H7)/H5</f>
        <v>#DIV/0!</v>
      </c>
      <c r="P1" s="180"/>
    </row>
    <row r="2" spans="1:16" ht="13.5" thickBot="1" x14ac:dyDescent="0.25"/>
    <row r="3" spans="1:16" ht="15.75" thickBot="1" x14ac:dyDescent="0.25">
      <c r="B3" s="76" t="s">
        <v>738</v>
      </c>
      <c r="C3" s="614" t="s">
        <v>207</v>
      </c>
      <c r="D3" s="614"/>
      <c r="E3" s="615"/>
      <c r="F3" s="101" t="s">
        <v>19</v>
      </c>
      <c r="G3" s="99"/>
      <c r="H3" s="98">
        <f>'4. Custo Total'!H1</f>
        <v>426926.15700952965</v>
      </c>
      <c r="J3" s="518" t="s">
        <v>83</v>
      </c>
      <c r="K3" s="519"/>
      <c r="L3" s="519"/>
      <c r="M3" s="520"/>
      <c r="P3" s="179"/>
    </row>
    <row r="4" spans="1:16" ht="15" x14ac:dyDescent="0.25">
      <c r="F4" s="41"/>
      <c r="G4" s="41"/>
      <c r="J4" s="33"/>
      <c r="K4" s="64"/>
      <c r="L4" s="64"/>
      <c r="M4" s="34"/>
    </row>
    <row r="5" spans="1:16" ht="15" x14ac:dyDescent="0.25">
      <c r="B5" s="76" t="s">
        <v>739</v>
      </c>
      <c r="C5" s="614" t="s">
        <v>208</v>
      </c>
      <c r="D5" s="614"/>
      <c r="E5" s="615"/>
      <c r="F5" s="101" t="s">
        <v>19</v>
      </c>
      <c r="G5" s="99"/>
      <c r="H5" s="444" t="e">
        <f>'1.4 Indicadores'!E8</f>
        <v>#DIV/0!</v>
      </c>
      <c r="J5" s="35"/>
      <c r="K5" s="2"/>
      <c r="L5" s="44" t="s">
        <v>81</v>
      </c>
      <c r="M5" s="36"/>
      <c r="P5" s="95"/>
    </row>
    <row r="6" spans="1:16" ht="15" x14ac:dyDescent="0.25">
      <c r="F6" s="41"/>
      <c r="G6" s="41"/>
      <c r="J6" s="35"/>
      <c r="K6" s="4"/>
      <c r="L6" s="44" t="s">
        <v>93</v>
      </c>
      <c r="M6" s="36"/>
    </row>
    <row r="7" spans="1:16" ht="15" x14ac:dyDescent="0.25">
      <c r="B7" s="76" t="s">
        <v>742</v>
      </c>
      <c r="C7" s="614" t="s">
        <v>743</v>
      </c>
      <c r="D7" s="614"/>
      <c r="E7" s="615"/>
      <c r="F7" s="101" t="s">
        <v>19</v>
      </c>
      <c r="G7" s="99"/>
      <c r="H7" s="98">
        <f>'2.1.c Insumos'!F105</f>
        <v>0</v>
      </c>
      <c r="J7" s="35"/>
      <c r="K7" s="43"/>
      <c r="L7" s="44" t="s">
        <v>82</v>
      </c>
      <c r="M7" s="36"/>
    </row>
    <row r="8" spans="1:16" ht="15.75" thickBot="1" x14ac:dyDescent="0.3">
      <c r="J8" s="37"/>
      <c r="K8" s="38"/>
      <c r="L8" s="38"/>
      <c r="M8" s="39"/>
    </row>
    <row r="18" spans="2:10" s="60" customFormat="1" ht="30" customHeight="1" x14ac:dyDescent="0.2">
      <c r="B18" s="40"/>
      <c r="C18" s="40"/>
      <c r="D18" s="40"/>
      <c r="E18" s="40"/>
      <c r="F18" s="42"/>
      <c r="G18" s="42"/>
      <c r="H18" s="95"/>
    </row>
    <row r="25" spans="2:10" x14ac:dyDescent="0.2">
      <c r="J25">
        <f ca="1">J25:N30</f>
        <v>0</v>
      </c>
    </row>
    <row r="53" spans="12:12" ht="15" x14ac:dyDescent="0.25">
      <c r="L53" s="6"/>
    </row>
  </sheetData>
  <mergeCells count="5">
    <mergeCell ref="B1:E1"/>
    <mergeCell ref="C3:E3"/>
    <mergeCell ref="J3:M3"/>
    <mergeCell ref="C5:E5"/>
    <mergeCell ref="C7:E7"/>
  </mergeCells>
  <pageMargins left="0.51181102362204722" right="0.51181102362204722"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ilha22">
    <tabColor theme="3"/>
  </sheetPr>
  <dimension ref="A1:Q53"/>
  <sheetViews>
    <sheetView workbookViewId="0">
      <selection activeCell="H7" sqref="H7"/>
    </sheetView>
  </sheetViews>
  <sheetFormatPr defaultColWidth="11.42578125" defaultRowHeight="12.75" x14ac:dyDescent="0.2"/>
  <cols>
    <col min="1" max="1" width="5.28515625" bestFit="1" customWidth="1"/>
    <col min="2" max="2" width="6.140625" style="40" customWidth="1"/>
    <col min="3" max="3" width="3.7109375" style="40" customWidth="1"/>
    <col min="4" max="4" width="7.85546875" style="40" bestFit="1" customWidth="1"/>
    <col min="5" max="5" width="53.7109375" style="40" customWidth="1"/>
    <col min="6" max="6" width="3.28515625" style="42" bestFit="1" customWidth="1"/>
    <col min="7" max="7" width="3.28515625" style="42" customWidth="1"/>
    <col min="8" max="8" width="16.42578125" style="95" bestFit="1" customWidth="1"/>
    <col min="9" max="9" width="11.42578125" customWidth="1"/>
    <col min="10" max="10" width="1.7109375" customWidth="1"/>
    <col min="11" max="11" width="11.42578125" customWidth="1"/>
    <col min="12" max="12" width="38.7109375" bestFit="1" customWidth="1"/>
    <col min="13" max="13" width="1.28515625" customWidth="1"/>
    <col min="14" max="14" width="11.42578125" customWidth="1"/>
    <col min="15" max="15" width="16.28515625" bestFit="1" customWidth="1"/>
    <col min="16" max="16" width="11.42578125" customWidth="1"/>
    <col min="17" max="17" width="14" bestFit="1" customWidth="1"/>
  </cols>
  <sheetData>
    <row r="1" spans="1:17" x14ac:dyDescent="0.2">
      <c r="A1" s="293" t="s">
        <v>590</v>
      </c>
      <c r="B1" s="614" t="s">
        <v>202</v>
      </c>
      <c r="C1" s="614"/>
      <c r="D1" s="614"/>
      <c r="E1" s="614"/>
      <c r="F1" s="111" t="s">
        <v>19</v>
      </c>
      <c r="G1" s="112"/>
      <c r="H1" s="113">
        <f>(H3+H5+H7)/(1-H9)</f>
        <v>426926.15700952965</v>
      </c>
      <c r="O1" s="179"/>
      <c r="Q1" s="170"/>
    </row>
    <row r="2" spans="1:17" ht="13.5" thickBot="1" x14ac:dyDescent="0.25"/>
    <row r="3" spans="1:17" ht="15.75" thickBot="1" x14ac:dyDescent="0.25">
      <c r="B3" s="293" t="s">
        <v>549</v>
      </c>
      <c r="C3" s="614" t="s">
        <v>194</v>
      </c>
      <c r="D3" s="614"/>
      <c r="E3" s="615"/>
      <c r="F3" s="101" t="s">
        <v>19</v>
      </c>
      <c r="G3" s="99"/>
      <c r="H3" s="98">
        <f>'2.1. Custo Variável'!E1</f>
        <v>156371.80851799998</v>
      </c>
      <c r="J3" s="518" t="s">
        <v>83</v>
      </c>
      <c r="K3" s="519"/>
      <c r="L3" s="519"/>
      <c r="M3" s="520"/>
      <c r="O3" s="170"/>
    </row>
    <row r="4" spans="1:17" ht="15" x14ac:dyDescent="0.25">
      <c r="B4" s="297"/>
      <c r="F4" s="41"/>
      <c r="G4" s="41"/>
      <c r="J4" s="33"/>
      <c r="K4" s="64"/>
      <c r="L4" s="64"/>
      <c r="M4" s="34"/>
    </row>
    <row r="5" spans="1:17" ht="15" x14ac:dyDescent="0.25">
      <c r="B5" s="293" t="s">
        <v>556</v>
      </c>
      <c r="C5" s="614" t="s">
        <v>195</v>
      </c>
      <c r="D5" s="614"/>
      <c r="E5" s="615"/>
      <c r="F5" s="101" t="s">
        <v>19</v>
      </c>
      <c r="G5" s="99"/>
      <c r="H5" s="98">
        <f>'2.2 Custo Fixo'!H1</f>
        <v>223648.56719302668</v>
      </c>
      <c r="J5" s="35"/>
      <c r="K5" s="2"/>
      <c r="L5" s="44" t="s">
        <v>81</v>
      </c>
      <c r="M5" s="36"/>
      <c r="O5" s="95"/>
    </row>
    <row r="6" spans="1:17" ht="15" x14ac:dyDescent="0.25">
      <c r="B6" s="297"/>
      <c r="F6" s="41"/>
      <c r="G6" s="41"/>
      <c r="J6" s="35"/>
      <c r="K6" s="4"/>
      <c r="L6" s="44" t="s">
        <v>93</v>
      </c>
      <c r="M6" s="36"/>
    </row>
    <row r="7" spans="1:17" ht="15" x14ac:dyDescent="0.25">
      <c r="B7" s="293" t="s">
        <v>586</v>
      </c>
      <c r="C7" s="614" t="s">
        <v>196</v>
      </c>
      <c r="D7" s="614"/>
      <c r="E7" s="615"/>
      <c r="F7" s="101" t="s">
        <v>19</v>
      </c>
      <c r="G7" s="99"/>
      <c r="H7" s="98">
        <f>'2.3 RPS'!H1</f>
        <v>27779.48946447605</v>
      </c>
      <c r="J7" s="35"/>
      <c r="K7" s="43"/>
      <c r="L7" s="44" t="s">
        <v>82</v>
      </c>
      <c r="M7" s="36"/>
    </row>
    <row r="8" spans="1:17" ht="15.75" thickBot="1" x14ac:dyDescent="0.3">
      <c r="B8" s="297"/>
      <c r="F8" s="41"/>
      <c r="G8" s="41"/>
      <c r="J8" s="37"/>
      <c r="K8" s="38"/>
      <c r="L8" s="38"/>
      <c r="M8" s="39"/>
    </row>
    <row r="9" spans="1:17" x14ac:dyDescent="0.2">
      <c r="B9" s="293" t="s">
        <v>589</v>
      </c>
      <c r="C9" s="614" t="s">
        <v>760</v>
      </c>
      <c r="D9" s="614"/>
      <c r="E9" s="615"/>
      <c r="F9" s="101"/>
      <c r="G9" s="99"/>
      <c r="H9" s="479">
        <f>SUM('2.1.c Insumos'!F96:F102)/100</f>
        <v>4.4800000000000006E-2</v>
      </c>
    </row>
    <row r="17" spans="2:8" s="60" customFormat="1" ht="30" customHeight="1" x14ac:dyDescent="0.2">
      <c r="B17" s="40"/>
      <c r="C17" s="40"/>
      <c r="D17" s="40"/>
      <c r="E17" s="40"/>
      <c r="F17" s="42"/>
      <c r="G17" s="42"/>
      <c r="H17" s="95"/>
    </row>
    <row r="53" spans="12:12" ht="15" x14ac:dyDescent="0.25">
      <c r="L53" s="6"/>
    </row>
  </sheetData>
  <mergeCells count="6">
    <mergeCell ref="C9:E9"/>
    <mergeCell ref="B1:E1"/>
    <mergeCell ref="C3:E3"/>
    <mergeCell ref="J3:M3"/>
    <mergeCell ref="C5:E5"/>
    <mergeCell ref="C7:E7"/>
  </mergeCell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ilha25">
    <tabColor theme="4" tint="-0.499984740745262"/>
  </sheetPr>
  <dimension ref="A1:Z64"/>
  <sheetViews>
    <sheetView tabSelected="1" topLeftCell="A43" zoomScaleNormal="100" workbookViewId="0">
      <selection activeCell="J51" sqref="J51"/>
    </sheetView>
  </sheetViews>
  <sheetFormatPr defaultRowHeight="12.75" x14ac:dyDescent="0.2"/>
  <cols>
    <col min="1" max="9" width="9.140625" customWidth="1"/>
    <col min="10" max="10" width="20" bestFit="1" customWidth="1"/>
    <col min="11" max="11" width="14.28515625" customWidth="1"/>
    <col min="12" max="12" width="16" bestFit="1" customWidth="1"/>
    <col min="13" max="13" width="16.140625" customWidth="1"/>
    <col min="14" max="14" width="11.5703125" style="392" customWidth="1"/>
    <col min="15" max="15" width="19.5703125" customWidth="1"/>
    <col min="16" max="16" width="16.28515625" bestFit="1" customWidth="1"/>
  </cols>
  <sheetData>
    <row r="1" spans="1:26" x14ac:dyDescent="0.2">
      <c r="A1" s="81"/>
      <c r="B1" s="81"/>
      <c r="C1" s="81"/>
      <c r="D1" s="81"/>
      <c r="E1" s="81"/>
      <c r="F1" s="81"/>
      <c r="G1" s="81"/>
      <c r="H1" s="81"/>
      <c r="I1" s="81"/>
      <c r="J1" s="81"/>
      <c r="K1" s="81"/>
      <c r="L1" s="81"/>
      <c r="M1" s="81"/>
      <c r="N1" s="445"/>
      <c r="O1" s="81"/>
      <c r="P1" s="81"/>
      <c r="Q1" s="81"/>
      <c r="R1" s="81"/>
      <c r="S1" s="81"/>
      <c r="T1" s="81"/>
      <c r="U1" s="81"/>
      <c r="V1" s="81"/>
      <c r="W1" s="81"/>
      <c r="X1" s="81"/>
      <c r="Y1" s="81"/>
      <c r="Z1" s="81"/>
    </row>
    <row r="2" spans="1:26" x14ac:dyDescent="0.2">
      <c r="A2" s="81"/>
      <c r="B2" s="645" t="s">
        <v>839</v>
      </c>
      <c r="C2" s="646"/>
      <c r="D2" s="646"/>
      <c r="E2" s="646"/>
      <c r="F2" s="646"/>
      <c r="G2" s="646"/>
      <c r="H2" s="646"/>
      <c r="I2" s="646"/>
      <c r="J2" s="646"/>
      <c r="K2" s="646"/>
      <c r="L2" s="646"/>
      <c r="M2" s="647"/>
      <c r="N2" s="446"/>
      <c r="O2" s="81"/>
      <c r="P2" s="81"/>
      <c r="Q2" s="81"/>
      <c r="R2" s="81"/>
      <c r="S2" s="81"/>
      <c r="T2" s="81"/>
      <c r="U2" s="81"/>
      <c r="V2" s="81"/>
      <c r="W2" s="81"/>
      <c r="X2" s="81"/>
      <c r="Y2" s="81"/>
      <c r="Z2" s="81"/>
    </row>
    <row r="3" spans="1:26" x14ac:dyDescent="0.2">
      <c r="A3" s="81"/>
      <c r="B3" s="417"/>
      <c r="C3" s="417"/>
      <c r="D3" s="417"/>
      <c r="E3" s="417"/>
      <c r="F3" s="417"/>
      <c r="G3" s="417"/>
      <c r="H3" s="417"/>
      <c r="I3" s="417"/>
      <c r="J3" s="417"/>
      <c r="K3" s="417"/>
      <c r="L3" s="417"/>
      <c r="M3" s="417"/>
      <c r="N3" s="446"/>
      <c r="O3" s="81"/>
      <c r="P3" s="81"/>
      <c r="Q3" s="81"/>
      <c r="R3" s="81"/>
      <c r="S3" s="81"/>
      <c r="T3" s="81"/>
      <c r="U3" s="81"/>
      <c r="V3" s="81"/>
      <c r="W3" s="81"/>
      <c r="X3" s="81"/>
      <c r="Y3" s="81"/>
      <c r="Z3" s="81"/>
    </row>
    <row r="4" spans="1:26" x14ac:dyDescent="0.2">
      <c r="A4" s="81"/>
      <c r="B4" s="645" t="s">
        <v>373</v>
      </c>
      <c r="C4" s="646"/>
      <c r="D4" s="646"/>
      <c r="E4" s="646"/>
      <c r="F4" s="646"/>
      <c r="G4" s="646"/>
      <c r="H4" s="646"/>
      <c r="I4" s="646"/>
      <c r="J4" s="418" t="s">
        <v>374</v>
      </c>
      <c r="K4" s="418" t="s">
        <v>375</v>
      </c>
      <c r="L4" s="418" t="s">
        <v>376</v>
      </c>
      <c r="M4" s="448" t="s">
        <v>69</v>
      </c>
      <c r="N4" s="418" t="s">
        <v>904</v>
      </c>
      <c r="O4" s="81"/>
      <c r="P4" s="81"/>
      <c r="Q4" s="81"/>
      <c r="R4" s="81"/>
      <c r="S4" s="81"/>
      <c r="T4" s="81"/>
      <c r="U4" s="81"/>
      <c r="V4" s="81"/>
      <c r="W4" s="81"/>
      <c r="X4" s="81"/>
      <c r="Y4" s="81"/>
      <c r="Z4" s="81"/>
    </row>
    <row r="5" spans="1:26" x14ac:dyDescent="0.2">
      <c r="A5" s="81"/>
      <c r="B5" s="419" t="s">
        <v>840</v>
      </c>
      <c r="C5" s="420"/>
      <c r="D5" s="420"/>
      <c r="E5" s="420"/>
      <c r="F5" s="420"/>
      <c r="G5" s="420"/>
      <c r="H5" s="420"/>
      <c r="I5" s="420"/>
      <c r="J5" s="420"/>
      <c r="K5" s="420"/>
      <c r="L5" s="420"/>
      <c r="M5" s="420"/>
      <c r="N5" s="459"/>
      <c r="O5" s="81"/>
      <c r="P5" s="81"/>
      <c r="Q5" s="81"/>
      <c r="R5" s="81"/>
      <c r="S5" s="81"/>
      <c r="T5" s="81"/>
      <c r="U5" s="81"/>
      <c r="V5" s="81"/>
      <c r="W5" s="81"/>
      <c r="X5" s="81"/>
      <c r="Y5" s="81"/>
      <c r="Z5" s="81"/>
    </row>
    <row r="6" spans="1:26" x14ac:dyDescent="0.2">
      <c r="A6" s="81"/>
      <c r="B6" s="651" t="s">
        <v>877</v>
      </c>
      <c r="C6" s="652"/>
      <c r="D6" s="652"/>
      <c r="E6" s="652"/>
      <c r="F6" s="652"/>
      <c r="G6" s="652"/>
      <c r="H6" s="652"/>
      <c r="I6" s="652"/>
      <c r="J6" s="421">
        <f>'2.1. Custo Variável'!E3</f>
        <v>111535.32683999999</v>
      </c>
      <c r="K6" s="421">
        <f>J6/(IF('1.2. KM programada'!$D$7="x",SUM('1.2. KM programada'!$N$16:$P$26),IF('1.2. KM programada'!$D$7="X",SUM('1.2. KM programada'!$N$16:$P$111),'1.2. KM programada'!$D$10)))</f>
        <v>2.2343999999999999</v>
      </c>
      <c r="L6" s="421">
        <f>J6/SUM('1.3 Frota Total'!$C$19:$F$25)</f>
        <v>7966.8090599999996</v>
      </c>
      <c r="M6" s="449">
        <f>J6/$J$11</f>
        <v>0.71327004462675347</v>
      </c>
      <c r="N6" s="460">
        <f>J6/$J$64</f>
        <v>0.26125203389098117</v>
      </c>
      <c r="O6" s="81"/>
      <c r="P6" s="81"/>
      <c r="Q6" s="81"/>
      <c r="R6" s="81"/>
      <c r="S6" s="81"/>
      <c r="T6" s="81"/>
      <c r="U6" s="81"/>
      <c r="V6" s="81"/>
      <c r="W6" s="81"/>
      <c r="X6" s="81"/>
      <c r="Y6" s="81"/>
      <c r="Z6" s="81"/>
    </row>
    <row r="7" spans="1:26" x14ac:dyDescent="0.2">
      <c r="A7" s="81"/>
      <c r="B7" s="651" t="s">
        <v>878</v>
      </c>
      <c r="C7" s="652"/>
      <c r="D7" s="652"/>
      <c r="E7" s="652"/>
      <c r="F7" s="652"/>
      <c r="G7" s="652"/>
      <c r="H7" s="652"/>
      <c r="I7" s="652"/>
      <c r="J7" s="421">
        <f>'2.1. Custo Variável'!E4</f>
        <v>7037.3480029999982</v>
      </c>
      <c r="K7" s="421">
        <f>J7/(IF('1.2. KM programada'!$D$7="x",SUM('1.2. KM programada'!$N$16:$P$26),IF('1.2. KM programada'!$D$7="X",SUM('1.2. KM programada'!$N$16:$P$111),'1.2. KM programada'!$D$10)))</f>
        <v>0.14097999999999997</v>
      </c>
      <c r="L7" s="421">
        <f>J7/SUM('1.3 Frota Total'!$C$19:$F$25)</f>
        <v>502.66771449999987</v>
      </c>
      <c r="M7" s="449">
        <f>J7/$J$11</f>
        <v>4.5003943291926106E-2</v>
      </c>
      <c r="N7" s="460">
        <f t="shared" ref="N7:N11" si="0">J7/$J$64</f>
        <v>1.6483759281216665E-2</v>
      </c>
      <c r="O7" s="81"/>
      <c r="P7" s="81"/>
      <c r="Q7" s="81"/>
      <c r="R7" s="81"/>
      <c r="S7" s="81"/>
      <c r="T7" s="81"/>
      <c r="U7" s="81"/>
      <c r="V7" s="81"/>
      <c r="W7" s="81"/>
      <c r="X7" s="81"/>
      <c r="Y7" s="81"/>
      <c r="Z7" s="81"/>
    </row>
    <row r="8" spans="1:26" x14ac:dyDescent="0.2">
      <c r="A8" s="81"/>
      <c r="B8" s="651" t="s">
        <v>879</v>
      </c>
      <c r="C8" s="652"/>
      <c r="D8" s="652"/>
      <c r="E8" s="652"/>
      <c r="F8" s="652"/>
      <c r="G8" s="652"/>
      <c r="H8" s="652"/>
      <c r="I8" s="652"/>
      <c r="J8" s="421">
        <f>'2.1. Custo Variável'!E6</f>
        <v>9010.0816749999994</v>
      </c>
      <c r="K8" s="421">
        <f>J8/(IF('1.2. KM programada'!$D$7="x",SUM('1.2. KM programada'!$N$16:$P$26),IF('1.2. KM programada'!$D$7="X",SUM('1.2. KM programada'!$N$16:$P$111),'1.2. KM programada'!$D$10)))</f>
        <v>0.18049999999999999</v>
      </c>
      <c r="L8" s="421">
        <f>J8/SUM('1.3 Frota Total'!$C$19:$F$25)</f>
        <v>643.57726249999996</v>
      </c>
      <c r="M8" s="449">
        <f>J8/$J$11</f>
        <v>5.7619603945188419E-2</v>
      </c>
      <c r="N8" s="460">
        <f t="shared" si="0"/>
        <v>2.110454355411838E-2</v>
      </c>
      <c r="O8" s="81"/>
      <c r="P8" s="81"/>
      <c r="Q8" s="81"/>
      <c r="R8" s="81"/>
      <c r="S8" s="81"/>
      <c r="T8" s="81"/>
      <c r="U8" s="81"/>
      <c r="V8" s="81"/>
      <c r="W8" s="81"/>
      <c r="X8" s="81"/>
      <c r="Y8" s="81"/>
      <c r="Z8" s="81"/>
    </row>
    <row r="9" spans="1:26" x14ac:dyDescent="0.2">
      <c r="A9" s="81"/>
      <c r="B9" s="651" t="s">
        <v>880</v>
      </c>
      <c r="C9" s="652"/>
      <c r="D9" s="652"/>
      <c r="E9" s="652"/>
      <c r="F9" s="652"/>
      <c r="G9" s="652"/>
      <c r="H9" s="652"/>
      <c r="I9" s="652"/>
      <c r="J9" s="421">
        <f>'2.1. Custo Variável'!E7</f>
        <v>27815.52</v>
      </c>
      <c r="K9" s="421">
        <f>J9/(IF('1.2. KM programada'!$D$7="x",SUM('1.2. KM programada'!$N$16:$P$26),IF('1.2. KM programada'!$D$7="X",SUM('1.2. KM programada'!$N$16:$P$111),'1.2. KM programada'!$D$10)))</f>
        <v>0.55723150367557572</v>
      </c>
      <c r="L9" s="421">
        <f>J9/SUM('1.3 Frota Total'!$C$19:$F$25)</f>
        <v>1986.8228571428572</v>
      </c>
      <c r="M9" s="449">
        <f>J9/$J$11</f>
        <v>0.17788065677323259</v>
      </c>
      <c r="N9" s="460">
        <f t="shared" si="0"/>
        <v>6.515300021633276E-2</v>
      </c>
      <c r="O9" s="81"/>
      <c r="P9" s="81"/>
      <c r="Q9" s="81"/>
      <c r="R9" s="81"/>
      <c r="S9" s="81"/>
      <c r="T9" s="81"/>
      <c r="U9" s="81"/>
      <c r="V9" s="81"/>
      <c r="W9" s="81"/>
      <c r="X9" s="81"/>
      <c r="Y9" s="81"/>
      <c r="Z9" s="81"/>
    </row>
    <row r="10" spans="1:26" x14ac:dyDescent="0.2">
      <c r="A10" s="81"/>
      <c r="B10" s="653" t="s">
        <v>881</v>
      </c>
      <c r="C10" s="654"/>
      <c r="D10" s="654"/>
      <c r="E10" s="654"/>
      <c r="F10" s="654"/>
      <c r="G10" s="654"/>
      <c r="H10" s="654"/>
      <c r="I10" s="654"/>
      <c r="J10" s="422">
        <f>'2.1. Custo Variável'!E8</f>
        <v>973.53200000000004</v>
      </c>
      <c r="K10" s="421">
        <f>J10/(IF('1.2. KM programada'!$D$7="x",SUM('1.2. KM programada'!$N$16:$P$26),IF('1.2. KM programada'!$D$7="X",SUM('1.2. KM programada'!$N$16:$P$111),'1.2. KM programada'!$D$10)))</f>
        <v>1.9502878257760078E-2</v>
      </c>
      <c r="L10" s="422">
        <f>J10/SUM('1.3 Frota Total'!$C$19:$F$25)</f>
        <v>69.537999999999997</v>
      </c>
      <c r="M10" s="450">
        <f>J10/$J$11</f>
        <v>6.2257513628995132E-3</v>
      </c>
      <c r="N10" s="460">
        <f t="shared" si="0"/>
        <v>2.2803287735266809E-3</v>
      </c>
      <c r="O10" s="81"/>
      <c r="P10" s="81"/>
      <c r="Q10" s="81"/>
      <c r="R10" s="81"/>
      <c r="S10" s="81"/>
      <c r="T10" s="81"/>
      <c r="U10" s="81"/>
      <c r="V10" s="81"/>
      <c r="W10" s="81"/>
      <c r="X10" s="81"/>
      <c r="Y10" s="81"/>
      <c r="Z10" s="81"/>
    </row>
    <row r="11" spans="1:26" x14ac:dyDescent="0.2">
      <c r="A11" s="81"/>
      <c r="B11" s="648" t="s">
        <v>841</v>
      </c>
      <c r="C11" s="649"/>
      <c r="D11" s="649"/>
      <c r="E11" s="649"/>
      <c r="F11" s="649"/>
      <c r="G11" s="649"/>
      <c r="H11" s="649"/>
      <c r="I11" s="650"/>
      <c r="J11" s="423">
        <f>SUM(J6:J10)</f>
        <v>156371.80851799998</v>
      </c>
      <c r="K11" s="421">
        <f>J11/(IF('1.2. KM programada'!$D$7="x",SUM('1.2. KM programada'!$N$16:$P$26),IF('1.2. KM programada'!$D$7="X",SUM('1.2. KM programada'!$N$16:$P$111),'1.2. KM programada'!$D$10)))</f>
        <v>3.1326143819333354</v>
      </c>
      <c r="L11" s="423">
        <f>SUM(L6:L10)</f>
        <v>11169.414894142856</v>
      </c>
      <c r="M11" s="451">
        <f>SUM(M6:M10)</f>
        <v>1.0000000000000002</v>
      </c>
      <c r="N11" s="460">
        <f t="shared" si="0"/>
        <v>0.36627366571617564</v>
      </c>
      <c r="O11" s="510"/>
      <c r="P11" s="81"/>
      <c r="Q11" s="81"/>
      <c r="R11" s="81"/>
      <c r="S11" s="81"/>
      <c r="T11" s="81"/>
      <c r="U11" s="81"/>
      <c r="V11" s="81"/>
      <c r="W11" s="81"/>
      <c r="X11" s="81"/>
      <c r="Y11" s="81"/>
      <c r="Z11" s="81"/>
    </row>
    <row r="12" spans="1:26" x14ac:dyDescent="0.2">
      <c r="A12" s="81"/>
      <c r="B12" s="424" t="s">
        <v>842</v>
      </c>
      <c r="C12" s="425"/>
      <c r="D12" s="425"/>
      <c r="E12" s="425"/>
      <c r="F12" s="425"/>
      <c r="G12" s="425"/>
      <c r="H12" s="425"/>
      <c r="I12" s="425"/>
      <c r="J12" s="425"/>
      <c r="K12" s="425"/>
      <c r="L12" s="425"/>
      <c r="M12" s="425"/>
      <c r="N12" s="459"/>
      <c r="O12" s="81"/>
      <c r="P12" s="81"/>
      <c r="Q12" s="81"/>
      <c r="R12" s="81"/>
      <c r="S12" s="81"/>
      <c r="T12" s="81"/>
      <c r="U12" s="81"/>
      <c r="V12" s="81"/>
      <c r="W12" s="81"/>
      <c r="X12" s="81"/>
      <c r="Y12" s="81"/>
      <c r="Z12" s="81"/>
    </row>
    <row r="13" spans="1:26" x14ac:dyDescent="0.2">
      <c r="A13" s="81"/>
      <c r="B13" s="426" t="s">
        <v>843</v>
      </c>
      <c r="C13" s="427"/>
      <c r="D13" s="427"/>
      <c r="E13" s="427"/>
      <c r="F13" s="427"/>
      <c r="G13" s="427"/>
      <c r="H13" s="427"/>
      <c r="I13" s="427"/>
      <c r="J13" s="427"/>
      <c r="K13" s="427"/>
      <c r="L13" s="427"/>
      <c r="M13" s="427"/>
      <c r="N13" s="459"/>
      <c r="O13" s="81"/>
      <c r="P13" s="81"/>
      <c r="Q13" s="81"/>
      <c r="R13" s="81"/>
      <c r="S13" s="81"/>
      <c r="T13" s="81"/>
      <c r="U13" s="81"/>
      <c r="V13" s="81"/>
      <c r="W13" s="81"/>
      <c r="X13" s="81"/>
      <c r="Y13" s="81"/>
      <c r="Z13" s="81"/>
    </row>
    <row r="14" spans="1:26" x14ac:dyDescent="0.2">
      <c r="A14" s="81"/>
      <c r="B14" s="635" t="s">
        <v>844</v>
      </c>
      <c r="C14" s="636"/>
      <c r="D14" s="636"/>
      <c r="E14" s="636"/>
      <c r="F14" s="636"/>
      <c r="G14" s="636"/>
      <c r="H14" s="636"/>
      <c r="I14" s="636"/>
      <c r="J14" s="428">
        <f>'2.2 Custo Fixo'!H19</f>
        <v>113013.42167440002</v>
      </c>
      <c r="K14" s="428">
        <f>J14/(IF('1.2. KM programada'!$D$7="x",SUM('1.2. KM programada'!$N$16:$P$26),IF('1.2. KM programada'!$D$7="X",SUM('1.2. KM programada'!$N$16:$P$111),'1.2. KM programada'!$D$10)))</f>
        <v>2.2640108434121609</v>
      </c>
      <c r="L14" s="428">
        <f>J14/SUM('1.3 Frota Total'!$C$19:$F$25)</f>
        <v>8072.3872624571441</v>
      </c>
      <c r="M14" s="452">
        <f>J14/$J$45</f>
        <v>0.50531699394640139</v>
      </c>
      <c r="N14" s="460">
        <f>J14/$J$64</f>
        <v>0.26471421302929765</v>
      </c>
      <c r="O14" s="81"/>
      <c r="P14" s="81"/>
      <c r="Q14" s="81"/>
      <c r="R14" s="81"/>
      <c r="S14" s="81"/>
      <c r="T14" s="81"/>
      <c r="U14" s="81"/>
      <c r="V14" s="81"/>
      <c r="W14" s="81"/>
      <c r="X14" s="81"/>
      <c r="Y14" s="81"/>
      <c r="Z14" s="81"/>
    </row>
    <row r="15" spans="1:26" x14ac:dyDescent="0.2">
      <c r="A15" s="81"/>
      <c r="B15" s="635" t="s">
        <v>882</v>
      </c>
      <c r="C15" s="636"/>
      <c r="D15" s="636"/>
      <c r="E15" s="636"/>
      <c r="F15" s="636"/>
      <c r="G15" s="636"/>
      <c r="H15" s="636"/>
      <c r="I15" s="636"/>
      <c r="J15" s="428">
        <f>'2.2 Custo Fixo'!H20</f>
        <v>45205.368669760006</v>
      </c>
      <c r="K15" s="428">
        <f>J15/(IF('1.2. KM programada'!$D$7="x",SUM('1.2. KM programada'!$N$16:$P$26),IF('1.2. KM programada'!$D$7="X",SUM('1.2. KM programada'!$N$16:$P$111),'1.2. KM programada'!$D$10)))</f>
        <v>0.90560433736486423</v>
      </c>
      <c r="L15" s="428">
        <f>J15/SUM('1.3 Frota Total'!$C$19:$F$25)</f>
        <v>3228.9549049828574</v>
      </c>
      <c r="M15" s="452">
        <f>J15/$J$45</f>
        <v>0.20212679757856056</v>
      </c>
      <c r="N15" s="460">
        <f t="shared" ref="N15:N16" si="1">J15/$J$64</f>
        <v>0.10588568521171907</v>
      </c>
      <c r="O15" s="81"/>
      <c r="P15" s="81"/>
      <c r="Q15" s="81"/>
      <c r="R15" s="81"/>
      <c r="S15" s="81"/>
      <c r="T15" s="81"/>
      <c r="U15" s="81"/>
      <c r="V15" s="81"/>
      <c r="W15" s="81"/>
      <c r="X15" s="81"/>
      <c r="Y15" s="81"/>
      <c r="Z15" s="81"/>
    </row>
    <row r="16" spans="1:26" ht="23.25" customHeight="1" x14ac:dyDescent="0.2">
      <c r="A16" s="81"/>
      <c r="B16" s="633" t="s">
        <v>381</v>
      </c>
      <c r="C16" s="634"/>
      <c r="D16" s="634"/>
      <c r="E16" s="634"/>
      <c r="F16" s="634"/>
      <c r="G16" s="634"/>
      <c r="H16" s="634"/>
      <c r="I16" s="634"/>
      <c r="J16" s="429">
        <f>SUM(J14:J15)</f>
        <v>158218.79034416002</v>
      </c>
      <c r="K16" s="429">
        <f>SUM(K14:K15)</f>
        <v>3.1696151807770252</v>
      </c>
      <c r="L16" s="429">
        <f>SUM(L14:L15)</f>
        <v>11301.342167440002</v>
      </c>
      <c r="M16" s="453">
        <f>SUM(M14:M15)</f>
        <v>0.70744379152496195</v>
      </c>
      <c r="N16" s="460">
        <f t="shared" si="1"/>
        <v>0.37059989824101675</v>
      </c>
      <c r="O16" s="81"/>
      <c r="P16" s="81"/>
      <c r="Q16" s="81"/>
      <c r="R16" s="81"/>
      <c r="S16" s="81"/>
      <c r="T16" s="81"/>
      <c r="U16" s="81"/>
      <c r="V16" s="81"/>
      <c r="W16" s="81"/>
      <c r="X16" s="81"/>
      <c r="Y16" s="81"/>
      <c r="Z16" s="81"/>
    </row>
    <row r="17" spans="1:26" x14ac:dyDescent="0.2">
      <c r="A17" s="81"/>
      <c r="B17" s="426" t="s">
        <v>845</v>
      </c>
      <c r="C17" s="427"/>
      <c r="D17" s="427"/>
      <c r="E17" s="427"/>
      <c r="F17" s="427"/>
      <c r="G17" s="427"/>
      <c r="H17" s="427"/>
      <c r="I17" s="427"/>
      <c r="J17" s="428"/>
      <c r="K17" s="428"/>
      <c r="L17" s="428"/>
      <c r="M17" s="452"/>
      <c r="N17" s="459"/>
      <c r="O17" s="81"/>
      <c r="P17" s="81"/>
      <c r="Q17" s="81"/>
      <c r="R17" s="81"/>
      <c r="S17" s="81"/>
      <c r="T17" s="81"/>
      <c r="U17" s="81"/>
      <c r="V17" s="81"/>
      <c r="W17" s="81"/>
      <c r="X17" s="81"/>
      <c r="Y17" s="81"/>
      <c r="Z17" s="81"/>
    </row>
    <row r="18" spans="1:26" x14ac:dyDescent="0.2">
      <c r="A18" s="81"/>
      <c r="B18" s="635" t="s">
        <v>883</v>
      </c>
      <c r="C18" s="636"/>
      <c r="D18" s="636"/>
      <c r="E18" s="636"/>
      <c r="F18" s="636"/>
      <c r="G18" s="636"/>
      <c r="H18" s="636"/>
      <c r="I18" s="636"/>
      <c r="J18" s="428">
        <f>'2.2 Custo Fixo'!H23</f>
        <v>32829.19</v>
      </c>
      <c r="K18" s="428">
        <f>J18/(IF('1.2. KM programada'!$D$7="x",SUM('1.2. KM programada'!$N$16:$P$26),IF('1.2. KM programada'!$D$7="X",SUM('1.2. KM programada'!$N$16:$P$111),'1.2. KM programada'!$D$10)))</f>
        <v>0.65767093004736832</v>
      </c>
      <c r="L18" s="428">
        <f>J18/SUM('1.3 Frota Total'!$C$19:$F$25)</f>
        <v>2344.9421428571432</v>
      </c>
      <c r="M18" s="452">
        <f>J18/$J$45</f>
        <v>0.14678918095489418</v>
      </c>
      <c r="N18" s="460">
        <f>J18/$J$64</f>
        <v>7.6896647021951398E-2</v>
      </c>
      <c r="O18" s="81"/>
      <c r="P18" s="81"/>
      <c r="Q18" s="81"/>
      <c r="R18" s="81"/>
      <c r="S18" s="81"/>
      <c r="T18" s="81"/>
      <c r="U18" s="81"/>
      <c r="V18" s="81"/>
      <c r="W18" s="81"/>
      <c r="X18" s="81"/>
      <c r="Y18" s="81"/>
      <c r="Z18" s="81"/>
    </row>
    <row r="19" spans="1:26" x14ac:dyDescent="0.2">
      <c r="A19" s="81"/>
      <c r="B19" s="635" t="s">
        <v>884</v>
      </c>
      <c r="C19" s="636"/>
      <c r="D19" s="636"/>
      <c r="E19" s="636"/>
      <c r="F19" s="636"/>
      <c r="G19" s="636"/>
      <c r="H19" s="636"/>
      <c r="I19" s="636"/>
      <c r="J19" s="428">
        <f>'2.2 Custo Fixo'!H24</f>
        <v>121.25333333333333</v>
      </c>
      <c r="K19" s="428">
        <f>J19/(IF('1.2. KM programada'!$D$7="x",SUM('1.2. KM programada'!$N$16:$P$26),IF('1.2. KM programada'!$D$7="X",SUM('1.2. KM programada'!$N$16:$P$111),'1.2. KM programada'!$D$10)))</f>
        <v>2.4290819391120187E-3</v>
      </c>
      <c r="L19" s="428">
        <f>J19/SUM('1.3 Frota Total'!$C$19:$F$25)</f>
        <v>8.6609523809523807</v>
      </c>
      <c r="M19" s="452">
        <f>J19/$J$45</f>
        <v>5.4216011689751605E-4</v>
      </c>
      <c r="N19" s="460">
        <f t="shared" ref="N19:N23" si="2">J19/$J$64</f>
        <v>2.8401476775906885E-4</v>
      </c>
      <c r="O19" s="81"/>
      <c r="P19" s="81"/>
      <c r="Q19" s="81"/>
      <c r="R19" s="81"/>
      <c r="S19" s="81"/>
      <c r="T19" s="81"/>
      <c r="U19" s="81"/>
      <c r="V19" s="81"/>
      <c r="W19" s="81"/>
      <c r="X19" s="81"/>
      <c r="Y19" s="81"/>
      <c r="Z19" s="81"/>
    </row>
    <row r="20" spans="1:26" x14ac:dyDescent="0.2">
      <c r="A20" s="81"/>
      <c r="B20" s="635" t="s">
        <v>846</v>
      </c>
      <c r="C20" s="636"/>
      <c r="D20" s="636"/>
      <c r="E20" s="636"/>
      <c r="F20" s="636"/>
      <c r="G20" s="636"/>
      <c r="H20" s="636"/>
      <c r="I20" s="636"/>
      <c r="J20" s="428">
        <f>'2.2 Custo Fixo'!H26</f>
        <v>0</v>
      </c>
      <c r="K20" s="428">
        <f>J20/(IF('1.2. KM programada'!$D$7="x",SUM('1.2. KM programada'!$N$16:$P$26),IF('1.2. KM programada'!$D$7="X",SUM('1.2. KM programada'!$N$16:$P$111),'1.2. KM programada'!$D$10)))</f>
        <v>0</v>
      </c>
      <c r="L20" s="428">
        <f>J20/SUM('1.3 Frota Total'!$C$19:$F$25)</f>
        <v>0</v>
      </c>
      <c r="M20" s="452">
        <f>J20/$J$45</f>
        <v>0</v>
      </c>
      <c r="N20" s="460">
        <f t="shared" si="2"/>
        <v>0</v>
      </c>
      <c r="O20" s="81"/>
      <c r="P20" s="81"/>
      <c r="Q20" s="81"/>
      <c r="R20" s="81"/>
      <c r="S20" s="81"/>
      <c r="T20" s="81"/>
      <c r="U20" s="81"/>
      <c r="V20" s="81"/>
      <c r="W20" s="81"/>
      <c r="X20" s="81"/>
      <c r="Y20" s="81"/>
      <c r="Z20" s="81"/>
    </row>
    <row r="21" spans="1:26" x14ac:dyDescent="0.2">
      <c r="A21" s="81"/>
      <c r="B21" s="635" t="s">
        <v>885</v>
      </c>
      <c r="C21" s="636"/>
      <c r="D21" s="636"/>
      <c r="E21" s="636"/>
      <c r="F21" s="636"/>
      <c r="G21" s="636"/>
      <c r="H21" s="636"/>
      <c r="I21" s="636"/>
      <c r="J21" s="428">
        <f>'2.2 Custo Fixo'!H25</f>
        <v>4928.1000000000004</v>
      </c>
      <c r="K21" s="428">
        <f>J21/(IF('1.2. KM programada'!$D$7="x",SUM('1.2. KM programada'!$N$16:$P$26),IF('1.2. KM programada'!$D$7="X",SUM('1.2. KM programada'!$N$16:$P$111),'1.2. KM programada'!$D$10)))</f>
        <v>9.8725192743605195E-2</v>
      </c>
      <c r="L21" s="428">
        <f>J21/SUM('1.3 Frota Total'!$C$19:$F$25)</f>
        <v>352.00714285714287</v>
      </c>
      <c r="M21" s="452">
        <f>J21/$J$45</f>
        <v>2.203501708887164E-2</v>
      </c>
      <c r="N21" s="460">
        <f t="shared" si="2"/>
        <v>1.154321401743018E-2</v>
      </c>
      <c r="O21" s="81"/>
      <c r="P21" s="81"/>
      <c r="Q21" s="81"/>
      <c r="R21" s="81"/>
      <c r="S21" s="81"/>
      <c r="T21" s="81"/>
      <c r="U21" s="81"/>
      <c r="V21" s="81"/>
      <c r="W21" s="81"/>
      <c r="X21" s="81"/>
      <c r="Y21" s="81"/>
      <c r="Z21" s="81"/>
    </row>
    <row r="22" spans="1:26" x14ac:dyDescent="0.2">
      <c r="A22" s="81"/>
      <c r="B22" s="635" t="s">
        <v>886</v>
      </c>
      <c r="C22" s="636"/>
      <c r="D22" s="636"/>
      <c r="E22" s="636"/>
      <c r="F22" s="636"/>
      <c r="G22" s="636"/>
      <c r="H22" s="636"/>
      <c r="I22" s="636"/>
      <c r="J22" s="428">
        <f>'2.2 Custo Fixo'!H27</f>
        <v>0</v>
      </c>
      <c r="K22" s="428"/>
      <c r="L22" s="430">
        <f>J22/SUM('1.3 Frota Total'!$C$19:$F$25)</f>
        <v>0</v>
      </c>
      <c r="M22" s="452">
        <f>J22/$J$45</f>
        <v>0</v>
      </c>
      <c r="N22" s="460">
        <f t="shared" si="2"/>
        <v>0</v>
      </c>
      <c r="O22" s="81"/>
      <c r="P22" s="81"/>
      <c r="Q22" s="81"/>
      <c r="R22" s="81"/>
      <c r="S22" s="81"/>
      <c r="T22" s="81"/>
      <c r="U22" s="81"/>
      <c r="V22" s="81"/>
      <c r="W22" s="81"/>
      <c r="X22" s="81"/>
      <c r="Y22" s="81"/>
      <c r="Z22" s="81"/>
    </row>
    <row r="23" spans="1:26" ht="24" customHeight="1" x14ac:dyDescent="0.2">
      <c r="A23" s="81"/>
      <c r="B23" s="633" t="s">
        <v>381</v>
      </c>
      <c r="C23" s="634"/>
      <c r="D23" s="634"/>
      <c r="E23" s="634"/>
      <c r="F23" s="634"/>
      <c r="G23" s="634"/>
      <c r="H23" s="634"/>
      <c r="I23" s="634"/>
      <c r="J23" s="431">
        <f>SUM(J18:J22)</f>
        <v>37878.543333333335</v>
      </c>
      <c r="K23" s="431">
        <f>SUM(K18:K22)</f>
        <v>0.75882520473008563</v>
      </c>
      <c r="L23" s="431">
        <f>SUM(L18:L22)</f>
        <v>2705.6102380952384</v>
      </c>
      <c r="M23" s="454">
        <f>SUM(M18:M22)</f>
        <v>0.16936635816066334</v>
      </c>
      <c r="N23" s="460">
        <f t="shared" si="2"/>
        <v>8.872387580714064E-2</v>
      </c>
      <c r="O23" s="81"/>
      <c r="P23" s="81"/>
      <c r="Q23" s="81"/>
      <c r="R23" s="81"/>
      <c r="S23" s="81"/>
      <c r="T23" s="81"/>
      <c r="U23" s="81"/>
      <c r="V23" s="81"/>
      <c r="W23" s="81"/>
      <c r="X23" s="81"/>
      <c r="Y23" s="81"/>
      <c r="Z23" s="81"/>
    </row>
    <row r="24" spans="1:26" x14ac:dyDescent="0.2">
      <c r="A24" s="81"/>
      <c r="B24" s="426" t="s">
        <v>847</v>
      </c>
      <c r="C24" s="427"/>
      <c r="D24" s="427"/>
      <c r="E24" s="427"/>
      <c r="F24" s="427"/>
      <c r="G24" s="427"/>
      <c r="H24" s="427"/>
      <c r="I24" s="427"/>
      <c r="J24" s="428"/>
      <c r="K24" s="428"/>
      <c r="L24" s="428"/>
      <c r="M24" s="452"/>
      <c r="N24" s="459"/>
      <c r="O24" s="81"/>
      <c r="P24" s="81"/>
      <c r="Q24" s="81"/>
      <c r="R24" s="81"/>
      <c r="S24" s="81"/>
      <c r="T24" s="81"/>
      <c r="U24" s="81"/>
      <c r="V24" s="81"/>
      <c r="W24" s="81"/>
      <c r="X24" s="81"/>
      <c r="Y24" s="81"/>
      <c r="Z24" s="81"/>
    </row>
    <row r="25" spans="1:26" x14ac:dyDescent="0.2">
      <c r="A25" s="81"/>
      <c r="B25" s="635" t="s">
        <v>887</v>
      </c>
      <c r="C25" s="636"/>
      <c r="D25" s="636"/>
      <c r="E25" s="636"/>
      <c r="F25" s="636"/>
      <c r="G25" s="636"/>
      <c r="H25" s="636"/>
      <c r="I25" s="636"/>
      <c r="J25" s="428">
        <f>'2.2 Custo Fixo'!H4</f>
        <v>13979.666666666668</v>
      </c>
      <c r="K25" s="428">
        <f>J25/(IF('1.2. KM programada'!$D$7="x",SUM('1.2. KM programada'!$N$16:$P$26),IF('1.2. KM programada'!$D$7="X",SUM('1.2. KM programada'!$N$16:$P$111),'1.2. KM programada'!$D$10)))</f>
        <v>0.28005626634159603</v>
      </c>
      <c r="L25" s="428">
        <f>J25/SUM('1.3 Frota Total'!$C$19:$F$25)</f>
        <v>998.54761904761915</v>
      </c>
      <c r="M25" s="452">
        <f>J25/$J$45</f>
        <v>6.2507293662208405E-2</v>
      </c>
      <c r="N25" s="460">
        <f>J25/$J$64</f>
        <v>3.2744928923047034E-2</v>
      </c>
      <c r="O25" s="81"/>
      <c r="P25" s="81"/>
      <c r="Q25" s="81"/>
      <c r="R25" s="81"/>
      <c r="S25" s="81"/>
      <c r="T25" s="81"/>
      <c r="U25" s="81"/>
      <c r="V25" s="81"/>
      <c r="W25" s="81"/>
      <c r="X25" s="81"/>
      <c r="Y25" s="81"/>
      <c r="Z25" s="81"/>
    </row>
    <row r="26" spans="1:26" x14ac:dyDescent="0.2">
      <c r="A26" s="81"/>
      <c r="B26" s="635" t="s">
        <v>888</v>
      </c>
      <c r="C26" s="636"/>
      <c r="D26" s="636"/>
      <c r="E26" s="636"/>
      <c r="F26" s="636"/>
      <c r="G26" s="636"/>
      <c r="H26" s="636"/>
      <c r="I26" s="636"/>
      <c r="J26" s="428">
        <f>'2.2 Custo Fixo'!H5</f>
        <v>764.65200000000004</v>
      </c>
      <c r="K26" s="428">
        <f>J26/(IF('1.2. KM programada'!$D$7="x",SUM('1.2. KM programada'!$N$16:$P$26),IF('1.2. KM programada'!$D$7="X",SUM('1.2. KM programada'!$N$16:$P$111),'1.2. KM programada'!$D$10)))</f>
        <v>1.531836125114815E-2</v>
      </c>
      <c r="L26" s="428">
        <f>J26/SUM('1.3 Frota Total'!$C$19:$F$25)</f>
        <v>54.618000000000002</v>
      </c>
      <c r="M26" s="452">
        <f>J26/$J$45</f>
        <v>3.418989039800304E-3</v>
      </c>
      <c r="N26" s="460">
        <f t="shared" ref="N26:N29" si="3">J26/$J$64</f>
        <v>1.7910638349173153E-3</v>
      </c>
      <c r="O26" s="81"/>
      <c r="P26" s="81"/>
      <c r="Q26" s="81"/>
      <c r="R26" s="81"/>
      <c r="S26" s="81"/>
      <c r="T26" s="81"/>
      <c r="U26" s="81"/>
      <c r="V26" s="81"/>
      <c r="W26" s="81"/>
      <c r="X26" s="81"/>
      <c r="Y26" s="81"/>
      <c r="Z26" s="81"/>
    </row>
    <row r="27" spans="1:26" x14ac:dyDescent="0.2">
      <c r="A27" s="81"/>
      <c r="B27" s="635" t="s">
        <v>889</v>
      </c>
      <c r="C27" s="636"/>
      <c r="D27" s="636"/>
      <c r="E27" s="636"/>
      <c r="F27" s="636"/>
      <c r="G27" s="636"/>
      <c r="H27" s="636"/>
      <c r="I27" s="636"/>
      <c r="J27" s="428">
        <f>'2.2 Custo Fixo'!H6</f>
        <v>0</v>
      </c>
      <c r="K27" s="428">
        <f>J27/(IF('1.2. KM programada'!$D$7="x",SUM('1.2. KM programada'!$N$16:$P$26),IF('1.2. KM programada'!$D$7="X",SUM('1.2. KM programada'!$N$16:$P$111),'1.2. KM programada'!$D$10)))</f>
        <v>0</v>
      </c>
      <c r="L27" s="428">
        <f>J27/SUM('1.3 Frota Total'!$C$19:$F$25)</f>
        <v>0</v>
      </c>
      <c r="M27" s="452">
        <f>J27/$J$45</f>
        <v>0</v>
      </c>
      <c r="N27" s="460">
        <f t="shared" si="3"/>
        <v>0</v>
      </c>
      <c r="O27" s="81"/>
      <c r="P27" s="81"/>
      <c r="Q27" s="81"/>
      <c r="R27" s="81"/>
      <c r="S27" s="81"/>
      <c r="T27" s="81"/>
      <c r="U27" s="81"/>
      <c r="V27" s="81"/>
      <c r="W27" s="81"/>
      <c r="X27" s="81"/>
      <c r="Y27" s="81"/>
      <c r="Z27" s="81"/>
    </row>
    <row r="28" spans="1:26" x14ac:dyDescent="0.2">
      <c r="A28" s="81"/>
      <c r="B28" s="635" t="s">
        <v>890</v>
      </c>
      <c r="C28" s="636"/>
      <c r="D28" s="636"/>
      <c r="E28" s="636"/>
      <c r="F28" s="636"/>
      <c r="G28" s="636"/>
      <c r="H28" s="636"/>
      <c r="I28" s="636"/>
      <c r="J28" s="428">
        <f>'2.2 Custo Fixo'!H7</f>
        <v>0</v>
      </c>
      <c r="K28" s="428">
        <f>J28/(IF('1.2. KM programada'!$D$7="x",SUM('1.2. KM programada'!$N$16:$P$26),IF('1.2. KM programada'!$D$7="X",SUM('1.2. KM programada'!$N$16:$P$111),'1.2. KM programada'!$D$10)))</f>
        <v>0</v>
      </c>
      <c r="L28" s="428">
        <f>J28/SUM('1.3 Frota Total'!$C$19:$F$25)</f>
        <v>0</v>
      </c>
      <c r="M28" s="452">
        <f>J28/$J$45</f>
        <v>0</v>
      </c>
      <c r="N28" s="460">
        <f t="shared" si="3"/>
        <v>0</v>
      </c>
      <c r="O28" s="81"/>
      <c r="P28" s="81"/>
      <c r="Q28" s="81"/>
      <c r="R28" s="81"/>
      <c r="S28" s="81"/>
      <c r="T28" s="81"/>
      <c r="U28" s="81"/>
      <c r="V28" s="81"/>
      <c r="W28" s="81"/>
      <c r="X28" s="81"/>
      <c r="Y28" s="81"/>
      <c r="Z28" s="81"/>
    </row>
    <row r="29" spans="1:26" x14ac:dyDescent="0.2">
      <c r="A29" s="81"/>
      <c r="B29" s="635" t="s">
        <v>891</v>
      </c>
      <c r="C29" s="636"/>
      <c r="D29" s="636"/>
      <c r="E29" s="636"/>
      <c r="F29" s="636"/>
      <c r="G29" s="636"/>
      <c r="H29" s="636"/>
      <c r="I29" s="636"/>
      <c r="J29" s="428">
        <f>'2.2 Custo Fixo'!H8</f>
        <v>0</v>
      </c>
      <c r="K29" s="428">
        <f>J29/(IF('1.2. KM programada'!$D$7="x",SUM('1.2. KM programada'!$N$16:$P$26),IF('1.2. KM programada'!$D$7="X",SUM('1.2. KM programada'!$N$16:$P$111),'1.2. KM programada'!$D$10)))</f>
        <v>0</v>
      </c>
      <c r="L29" s="428">
        <f>J29/SUM('1.3 Frota Total'!$C$19:$F$25)</f>
        <v>0</v>
      </c>
      <c r="M29" s="452">
        <f>J29/$J$45</f>
        <v>0</v>
      </c>
      <c r="N29" s="460">
        <f t="shared" si="3"/>
        <v>0</v>
      </c>
      <c r="O29" s="81"/>
      <c r="P29" s="81"/>
      <c r="Q29" s="81"/>
      <c r="R29" s="81"/>
      <c r="S29" s="81"/>
      <c r="T29" s="81"/>
      <c r="U29" s="81"/>
      <c r="V29" s="81"/>
      <c r="W29" s="81"/>
      <c r="X29" s="81"/>
      <c r="Y29" s="81"/>
      <c r="Z29" s="81"/>
    </row>
    <row r="30" spans="1:26" ht="12" customHeight="1" x14ac:dyDescent="0.2">
      <c r="A30" s="81"/>
      <c r="B30" s="432"/>
      <c r="C30" s="433"/>
      <c r="D30" s="433"/>
      <c r="E30" s="433"/>
      <c r="F30" s="433"/>
      <c r="G30" s="433"/>
      <c r="H30" s="433"/>
      <c r="I30" s="433"/>
      <c r="J30" s="428"/>
      <c r="K30" s="428"/>
      <c r="L30" s="428"/>
      <c r="M30" s="452"/>
      <c r="N30" s="459"/>
      <c r="O30" s="81"/>
      <c r="P30" s="81"/>
      <c r="Q30" s="81"/>
      <c r="R30" s="81"/>
      <c r="S30" s="81"/>
      <c r="T30" s="81"/>
      <c r="U30" s="81"/>
      <c r="V30" s="81"/>
      <c r="W30" s="81"/>
      <c r="X30" s="81"/>
      <c r="Y30" s="81"/>
      <c r="Z30" s="81"/>
    </row>
    <row r="31" spans="1:26" x14ac:dyDescent="0.2">
      <c r="A31" s="81"/>
      <c r="B31" s="633" t="s">
        <v>381</v>
      </c>
      <c r="C31" s="634"/>
      <c r="D31" s="634"/>
      <c r="E31" s="634"/>
      <c r="F31" s="634"/>
      <c r="G31" s="634"/>
      <c r="H31" s="634"/>
      <c r="I31" s="634"/>
      <c r="J31" s="434">
        <f>SUM(J25:J29)</f>
        <v>14744.318666666668</v>
      </c>
      <c r="K31" s="434">
        <f>SUM(K25:K29)</f>
        <v>0.29537462759274419</v>
      </c>
      <c r="L31" s="434">
        <f>SUM(L25:L29)</f>
        <v>1053.1656190476192</v>
      </c>
      <c r="M31" s="455">
        <f>SUM(M25:M29)</f>
        <v>6.5926282702008704E-2</v>
      </c>
      <c r="N31" s="460">
        <f>J31/$J$64</f>
        <v>3.4535992757964352E-2</v>
      </c>
      <c r="O31" s="81"/>
      <c r="P31" s="81"/>
      <c r="Q31" s="81"/>
      <c r="R31" s="81"/>
      <c r="S31" s="81"/>
      <c r="T31" s="81"/>
      <c r="U31" s="81"/>
      <c r="V31" s="81"/>
      <c r="W31" s="81"/>
      <c r="X31" s="81"/>
      <c r="Y31" s="81"/>
      <c r="Z31" s="81"/>
    </row>
    <row r="32" spans="1:26" x14ac:dyDescent="0.2">
      <c r="A32" s="81"/>
      <c r="B32" s="426" t="s">
        <v>848</v>
      </c>
      <c r="C32" s="427"/>
      <c r="D32" s="427"/>
      <c r="E32" s="427"/>
      <c r="F32" s="427"/>
      <c r="G32" s="427"/>
      <c r="H32" s="427"/>
      <c r="I32" s="427"/>
      <c r="J32" s="428"/>
      <c r="K32" s="428"/>
      <c r="L32" s="428"/>
      <c r="M32" s="452"/>
      <c r="N32" s="459"/>
      <c r="O32" s="81"/>
      <c r="P32" s="81"/>
      <c r="Q32" s="81"/>
      <c r="R32" s="81"/>
      <c r="S32" s="81"/>
      <c r="T32" s="81"/>
      <c r="U32" s="81"/>
      <c r="V32" s="81"/>
      <c r="W32" s="81"/>
      <c r="X32" s="81"/>
      <c r="Y32" s="81"/>
      <c r="Z32" s="81"/>
    </row>
    <row r="33" spans="1:26" x14ac:dyDescent="0.2">
      <c r="A33" s="81"/>
      <c r="B33" s="635" t="s">
        <v>892</v>
      </c>
      <c r="C33" s="636"/>
      <c r="D33" s="636"/>
      <c r="E33" s="636"/>
      <c r="F33" s="636"/>
      <c r="G33" s="636"/>
      <c r="H33" s="636"/>
      <c r="I33" s="636"/>
      <c r="J33" s="428">
        <f>'2.2 Custo Fixo'!H11</f>
        <v>888.04171666666605</v>
      </c>
      <c r="K33" s="428">
        <f>J33/(IF('1.2. KM programada'!$D$7="x",SUM('1.2. KM programada'!$N$16:$P$26),IF('1.2. KM programada'!$D$7="X",SUM('1.2. KM programada'!$N$16:$P$111),'1.2. KM programada'!$D$10)))</f>
        <v>1.7790241602702588E-2</v>
      </c>
      <c r="L33" s="428">
        <f>J33/SUM('1.3 Frota Total'!$C$19:$F$25)</f>
        <v>63.431551190476149</v>
      </c>
      <c r="M33" s="452">
        <f t="shared" ref="M33:M38" si="4">J33/$J$45</f>
        <v>3.9707015690389584E-3</v>
      </c>
      <c r="N33" s="460">
        <f>J33/$J$64</f>
        <v>2.080082707714823E-3</v>
      </c>
      <c r="O33" s="81"/>
      <c r="P33" s="81"/>
      <c r="Q33" s="81"/>
      <c r="R33" s="81"/>
      <c r="S33" s="81"/>
      <c r="T33" s="81"/>
      <c r="U33" s="81"/>
      <c r="V33" s="81"/>
      <c r="W33" s="81"/>
      <c r="X33" s="81"/>
      <c r="Y33" s="81"/>
      <c r="Z33" s="81"/>
    </row>
    <row r="34" spans="1:26" x14ac:dyDescent="0.2">
      <c r="A34" s="81"/>
      <c r="B34" s="635" t="s">
        <v>893</v>
      </c>
      <c r="C34" s="636"/>
      <c r="D34" s="636"/>
      <c r="E34" s="636"/>
      <c r="F34" s="636"/>
      <c r="G34" s="636"/>
      <c r="H34" s="636"/>
      <c r="I34" s="636"/>
      <c r="J34" s="428">
        <f>'2.2 Custo Fixo'!H12</f>
        <v>2234.1879138666668</v>
      </c>
      <c r="K34" s="428">
        <f>J34/(IF('1.2. KM programada'!$D$7="x",SUM('1.2. KM programada'!$N$16:$P$26),IF('1.2. KM programada'!$D$7="X",SUM('1.2. KM programada'!$N$16:$P$111),'1.2. KM programada'!$D$10)))</f>
        <v>4.4757742826225085E-2</v>
      </c>
      <c r="L34" s="428">
        <f>J34/SUM('1.3 Frota Total'!$C$19:$F$25)</f>
        <v>159.58485099047621</v>
      </c>
      <c r="M34" s="452">
        <f t="shared" si="4"/>
        <v>9.9897260327108783E-3</v>
      </c>
      <c r="N34" s="460">
        <f t="shared" ref="N34:N39" si="5">J34/$J$64</f>
        <v>5.2331951959008133E-3</v>
      </c>
      <c r="O34" s="81"/>
      <c r="P34" s="495"/>
      <c r="Q34" s="81"/>
      <c r="R34" s="81"/>
      <c r="S34" s="81"/>
      <c r="T34" s="81"/>
      <c r="U34" s="81"/>
      <c r="V34" s="81"/>
      <c r="W34" s="81"/>
      <c r="X34" s="81"/>
      <c r="Y34" s="81"/>
      <c r="Z34" s="81"/>
    </row>
    <row r="35" spans="1:26" x14ac:dyDescent="0.2">
      <c r="A35" s="81"/>
      <c r="B35" s="635" t="s">
        <v>894</v>
      </c>
      <c r="C35" s="636"/>
      <c r="D35" s="636"/>
      <c r="E35" s="636"/>
      <c r="F35" s="636"/>
      <c r="G35" s="636"/>
      <c r="H35" s="636"/>
      <c r="I35" s="636"/>
      <c r="J35" s="428">
        <f>'2.2 Custo Fixo'!H13</f>
        <v>0</v>
      </c>
      <c r="K35" s="428">
        <f>J35/(IF('1.2. KM programada'!$D$7="x",SUM('1.2. KM programada'!$N$16:$P$26),IF('1.2. KM programada'!$D$7="X",SUM('1.2. KM programada'!$N$16:$P$111),'1.2. KM programada'!$D$10)))</f>
        <v>0</v>
      </c>
      <c r="L35" s="428">
        <f>J35/SUM('1.3 Frota Total'!$C$19:$F$25)</f>
        <v>0</v>
      </c>
      <c r="M35" s="452">
        <f t="shared" si="4"/>
        <v>0</v>
      </c>
      <c r="N35" s="460">
        <f t="shared" si="5"/>
        <v>0</v>
      </c>
      <c r="O35" s="81"/>
      <c r="P35" s="81"/>
      <c r="Q35" s="81"/>
      <c r="R35" s="81"/>
      <c r="S35" s="81"/>
      <c r="T35" s="81"/>
      <c r="U35" s="81"/>
      <c r="V35" s="81"/>
      <c r="W35" s="81"/>
      <c r="X35" s="81"/>
      <c r="Y35" s="81"/>
      <c r="Z35" s="81"/>
    </row>
    <row r="36" spans="1:26" x14ac:dyDescent="0.2">
      <c r="A36" s="81"/>
      <c r="B36" s="635" t="s">
        <v>895</v>
      </c>
      <c r="C36" s="636"/>
      <c r="D36" s="636"/>
      <c r="E36" s="636"/>
      <c r="F36" s="636"/>
      <c r="G36" s="636"/>
      <c r="H36" s="636"/>
      <c r="I36" s="636"/>
      <c r="J36" s="428">
        <f>'2.2 Custo Fixo'!H14</f>
        <v>0</v>
      </c>
      <c r="K36" s="428">
        <f>J36/(IF('1.2. KM programada'!$D$7="x",SUM('1.2. KM programada'!$N$16:$P$26),IF('1.2. KM programada'!$D$7="X",SUM('1.2. KM programada'!$N$16:$P$111),'1.2. KM programada'!$D$10)))</f>
        <v>0</v>
      </c>
      <c r="L36" s="428">
        <f>J36/SUM('1.3 Frota Total'!$C$19:$F$25)</f>
        <v>0</v>
      </c>
      <c r="M36" s="452">
        <f t="shared" si="4"/>
        <v>0</v>
      </c>
      <c r="N36" s="460">
        <f t="shared" si="5"/>
        <v>0</v>
      </c>
      <c r="O36" s="81"/>
      <c r="P36" s="81"/>
      <c r="Q36" s="81"/>
      <c r="R36" s="81"/>
      <c r="S36" s="81"/>
      <c r="T36" s="81"/>
      <c r="U36" s="81"/>
      <c r="V36" s="81"/>
      <c r="W36" s="81"/>
      <c r="X36" s="81"/>
      <c r="Y36" s="81"/>
      <c r="Z36" s="81"/>
    </row>
    <row r="37" spans="1:26" x14ac:dyDescent="0.2">
      <c r="A37" s="81"/>
      <c r="B37" s="635" t="s">
        <v>896</v>
      </c>
      <c r="C37" s="636"/>
      <c r="D37" s="636"/>
      <c r="E37" s="636"/>
      <c r="F37" s="636"/>
      <c r="G37" s="636"/>
      <c r="H37" s="636"/>
      <c r="I37" s="636"/>
      <c r="J37" s="428">
        <f>'2.2 Custo Fixo'!H15</f>
        <v>63.685218333333324</v>
      </c>
      <c r="K37" s="428">
        <f>J37/(IF('1.2. KM programada'!$D$7="x",SUM('1.2. KM programada'!$N$16:$P$26),IF('1.2. KM programada'!$D$7="X",SUM('1.2. KM programada'!$N$16:$P$111),'1.2. KM programada'!$D$10)))</f>
        <v>1.2758132860284715E-3</v>
      </c>
      <c r="L37" s="428">
        <f>J37/SUM('1.3 Frota Total'!$C$19:$F$25)</f>
        <v>4.5489441666666659</v>
      </c>
      <c r="M37" s="452">
        <f t="shared" si="4"/>
        <v>2.847557627246852E-4</v>
      </c>
      <c r="N37" s="460">
        <f t="shared" si="5"/>
        <v>1.491715072682037E-4</v>
      </c>
      <c r="O37" s="81"/>
      <c r="P37" s="81"/>
      <c r="Q37" s="81"/>
      <c r="R37" s="81"/>
      <c r="S37" s="81"/>
      <c r="T37" s="81"/>
      <c r="U37" s="81"/>
      <c r="V37" s="81"/>
      <c r="W37" s="81"/>
      <c r="X37" s="81"/>
      <c r="Y37" s="81"/>
      <c r="Z37" s="81"/>
    </row>
    <row r="38" spans="1:26" x14ac:dyDescent="0.2">
      <c r="A38" s="81"/>
      <c r="B38" s="635" t="s">
        <v>897</v>
      </c>
      <c r="C38" s="636"/>
      <c r="D38" s="636"/>
      <c r="E38" s="636"/>
      <c r="F38" s="636"/>
      <c r="G38" s="636"/>
      <c r="H38" s="636"/>
      <c r="I38" s="636"/>
      <c r="J38" s="428">
        <f>'2.2 Custo Fixo'!H16</f>
        <v>0</v>
      </c>
      <c r="K38" s="428">
        <f>J38/(IF('1.2. KM programada'!$D$7="x",SUM('1.2. KM programada'!$N$16:$P$26),IF('1.2. KM programada'!$D$7="X",SUM('1.2. KM programada'!$N$16:$P$111),'1.2. KM programada'!$D$10)))</f>
        <v>0</v>
      </c>
      <c r="L38" s="428">
        <f>J38/SUM('1.3 Frota Total'!$C$19:$F$25)</f>
        <v>0</v>
      </c>
      <c r="M38" s="452">
        <f t="shared" si="4"/>
        <v>0</v>
      </c>
      <c r="N38" s="460">
        <f t="shared" si="5"/>
        <v>0</v>
      </c>
      <c r="O38" s="81"/>
      <c r="P38" s="81"/>
      <c r="Q38" s="81"/>
      <c r="R38" s="81"/>
      <c r="S38" s="81"/>
      <c r="T38" s="81"/>
      <c r="U38" s="81"/>
      <c r="V38" s="81"/>
      <c r="W38" s="81"/>
      <c r="X38" s="81"/>
      <c r="Y38" s="81"/>
      <c r="Z38" s="81"/>
    </row>
    <row r="39" spans="1:26" x14ac:dyDescent="0.2">
      <c r="A39" s="81"/>
      <c r="B39" s="633" t="s">
        <v>381</v>
      </c>
      <c r="C39" s="634"/>
      <c r="D39" s="634"/>
      <c r="E39" s="634"/>
      <c r="F39" s="634"/>
      <c r="G39" s="634"/>
      <c r="H39" s="634"/>
      <c r="I39" s="634"/>
      <c r="J39" s="429">
        <f>SUM(J33:J38)</f>
        <v>3185.9148488666665</v>
      </c>
      <c r="K39" s="429">
        <f>SUM(K33:K38)</f>
        <v>6.3823797714956138E-2</v>
      </c>
      <c r="L39" s="429">
        <f>SUM(L33:L38)</f>
        <v>227.56534634761903</v>
      </c>
      <c r="M39" s="453">
        <f>SUM(M33:M38)</f>
        <v>1.4245183364474522E-2</v>
      </c>
      <c r="N39" s="460">
        <f t="shared" si="5"/>
        <v>7.4624494108838403E-3</v>
      </c>
      <c r="O39" s="81"/>
      <c r="P39" s="81"/>
      <c r="Q39" s="81"/>
      <c r="R39" s="81"/>
      <c r="S39" s="81"/>
      <c r="T39" s="81"/>
      <c r="U39" s="81"/>
      <c r="V39" s="81"/>
      <c r="W39" s="81"/>
      <c r="X39" s="81"/>
      <c r="Y39" s="81"/>
      <c r="Z39" s="81"/>
    </row>
    <row r="40" spans="1:26" x14ac:dyDescent="0.2">
      <c r="A40" s="81"/>
      <c r="B40" s="435" t="s">
        <v>407</v>
      </c>
      <c r="C40" s="436"/>
      <c r="D40" s="436"/>
      <c r="E40" s="436"/>
      <c r="F40" s="436"/>
      <c r="G40" s="436"/>
      <c r="H40" s="436"/>
      <c r="I40" s="436"/>
      <c r="J40" s="437"/>
      <c r="K40" s="437"/>
      <c r="L40" s="437"/>
      <c r="M40" s="437"/>
      <c r="N40" s="459"/>
      <c r="O40" s="81"/>
      <c r="P40" s="81"/>
      <c r="Q40" s="81"/>
      <c r="R40" s="81"/>
      <c r="S40" s="81"/>
      <c r="T40" s="81"/>
      <c r="U40" s="81"/>
      <c r="V40" s="81"/>
      <c r="W40" s="81"/>
      <c r="X40" s="81"/>
      <c r="Y40" s="81"/>
      <c r="Z40" s="81"/>
    </row>
    <row r="41" spans="1:26" x14ac:dyDescent="0.2">
      <c r="A41" s="81"/>
      <c r="B41" s="635" t="s">
        <v>898</v>
      </c>
      <c r="C41" s="636"/>
      <c r="D41" s="636"/>
      <c r="E41" s="636"/>
      <c r="F41" s="636"/>
      <c r="G41" s="636"/>
      <c r="H41" s="636"/>
      <c r="I41" s="636"/>
      <c r="J41" s="438">
        <f>'2.2 Custo Fixo'!H30</f>
        <v>5621</v>
      </c>
      <c r="K41" s="438">
        <f>J41/(IF('1.2. KM programada'!$D$7="x",SUM('1.2. KM programada'!$N$16:$P$26),IF('1.2. KM programada'!$D$7="X",SUM('1.2. KM programada'!$N$16:$P$111),'1.2. KM programada'!$D$10)))</f>
        <v>0.11260613794602478</v>
      </c>
      <c r="L41" s="438">
        <f>J41/SUM('1.3 Frota Total'!$C$19:$F$25)</f>
        <v>401.5</v>
      </c>
      <c r="M41" s="456">
        <f>J41/$J$45</f>
        <v>2.5133181359255592E-2</v>
      </c>
      <c r="N41" s="460">
        <f>J41/$J$64</f>
        <v>1.3166211317135414E-2</v>
      </c>
      <c r="O41" s="81"/>
      <c r="P41" s="81"/>
      <c r="Q41" s="81"/>
      <c r="R41" s="81"/>
      <c r="S41" s="81"/>
      <c r="T41" s="81"/>
      <c r="U41" s="81"/>
      <c r="V41" s="81"/>
      <c r="W41" s="81"/>
      <c r="X41" s="81"/>
      <c r="Y41" s="81"/>
      <c r="Z41" s="81"/>
    </row>
    <row r="42" spans="1:26" ht="13.5" customHeight="1" x14ac:dyDescent="0.2">
      <c r="A42" s="81"/>
      <c r="B42" s="635" t="s">
        <v>899</v>
      </c>
      <c r="C42" s="636"/>
      <c r="D42" s="636"/>
      <c r="E42" s="636"/>
      <c r="F42" s="636"/>
      <c r="G42" s="636"/>
      <c r="H42" s="636"/>
      <c r="I42" s="636"/>
      <c r="J42" s="438">
        <f>'2.2 Custo Fixo'!H31</f>
        <v>0</v>
      </c>
      <c r="K42" s="438">
        <f>J42/(IF('1.2. KM programada'!$D$7="x",SUM('1.2. KM programada'!$N$16:$P$26),IF('1.2. KM programada'!$D$7="X",SUM('1.2. KM programada'!$N$16:$P$111),'1.2. KM programada'!$D$10)))</f>
        <v>0</v>
      </c>
      <c r="L42" s="438">
        <f>J42/SUM('1.3 Frota Total'!$C$19:$F$25)</f>
        <v>0</v>
      </c>
      <c r="M42" s="456">
        <f>J42/$J$45</f>
        <v>0</v>
      </c>
      <c r="N42" s="460">
        <f t="shared" ref="N42:N49" si="6">J42/$J$64</f>
        <v>0</v>
      </c>
      <c r="O42" s="81"/>
      <c r="P42" s="81"/>
      <c r="Q42" s="81"/>
      <c r="R42" s="81"/>
      <c r="S42" s="81"/>
      <c r="T42" s="81"/>
      <c r="U42" s="81"/>
      <c r="V42" s="81"/>
      <c r="W42" s="81"/>
      <c r="X42" s="81"/>
      <c r="Y42" s="81"/>
      <c r="Z42" s="81"/>
    </row>
    <row r="43" spans="1:26" ht="13.5" customHeight="1" x14ac:dyDescent="0.2">
      <c r="A43" s="81"/>
      <c r="B43" s="641" t="s">
        <v>900</v>
      </c>
      <c r="C43" s="642"/>
      <c r="D43" s="642"/>
      <c r="E43" s="642"/>
      <c r="F43" s="642"/>
      <c r="G43" s="642"/>
      <c r="H43" s="642"/>
      <c r="I43" s="642"/>
      <c r="J43" s="438">
        <f>'2.2 Custo Fixo'!H32</f>
        <v>4000</v>
      </c>
      <c r="K43" s="438">
        <f>J43/(IF('1.2. KM programada'!$D$7="x",SUM('1.2. KM programada'!$N$16:$P$26),IF('1.2. KM programada'!$D$7="X",SUM('1.2. KM programada'!$N$16:$P$111),'1.2. KM programada'!$D$10)))</f>
        <v>8.0132458954652042E-2</v>
      </c>
      <c r="L43" s="438">
        <f>J43/SUM('1.3 Frota Total'!$C$19:$F$25)</f>
        <v>285.71428571428572</v>
      </c>
      <c r="M43" s="456">
        <f>J43/$J$45</f>
        <v>1.7885202888635897E-2</v>
      </c>
      <c r="N43" s="460">
        <f t="shared" si="6"/>
        <v>9.3693017734463001E-3</v>
      </c>
      <c r="O43" s="81"/>
      <c r="P43" s="81"/>
      <c r="Q43" s="81"/>
      <c r="R43" s="81"/>
      <c r="S43" s="81"/>
      <c r="T43" s="81"/>
      <c r="U43" s="81"/>
      <c r="V43" s="81"/>
      <c r="W43" s="81"/>
      <c r="X43" s="81"/>
      <c r="Y43" s="81"/>
      <c r="Z43" s="81"/>
    </row>
    <row r="44" spans="1:26" ht="15.75" customHeight="1" x14ac:dyDescent="0.2">
      <c r="A44" s="81"/>
      <c r="B44" s="639" t="s">
        <v>381</v>
      </c>
      <c r="C44" s="640"/>
      <c r="D44" s="640"/>
      <c r="E44" s="640"/>
      <c r="F44" s="640"/>
      <c r="G44" s="640"/>
      <c r="H44" s="640"/>
      <c r="I44" s="640"/>
      <c r="J44" s="439">
        <f>SUM(J41:J43)</f>
        <v>9621</v>
      </c>
      <c r="K44" s="438">
        <f>J44/(IF('1.2. KM programada'!$D$7="x",SUM('1.2. KM programada'!$N$16:$P$26),IF('1.2. KM programada'!$D$7="X",SUM('1.2. KM programada'!$N$16:$P$111),'1.2. KM programada'!$D$10)))</f>
        <v>0.19273859690067682</v>
      </c>
      <c r="L44" s="439">
        <f>SUM(L41:L43)</f>
        <v>687.21428571428578</v>
      </c>
      <c r="M44" s="457">
        <f>SUM(M41:M43)</f>
        <v>4.3018384247891492E-2</v>
      </c>
      <c r="N44" s="460">
        <f t="shared" si="6"/>
        <v>2.2535513090581716E-2</v>
      </c>
      <c r="O44" s="81"/>
      <c r="P44" s="81"/>
      <c r="Q44" s="81"/>
      <c r="R44" s="81"/>
      <c r="S44" s="81"/>
      <c r="T44" s="81"/>
      <c r="U44" s="81"/>
      <c r="V44" s="81"/>
      <c r="W44" s="81"/>
      <c r="X44" s="81"/>
      <c r="Y44" s="81"/>
      <c r="Z44" s="81"/>
    </row>
    <row r="45" spans="1:26" x14ac:dyDescent="0.2">
      <c r="A45" s="81"/>
      <c r="B45" s="643" t="s">
        <v>849</v>
      </c>
      <c r="C45" s="644"/>
      <c r="D45" s="644"/>
      <c r="E45" s="644"/>
      <c r="F45" s="644"/>
      <c r="G45" s="644"/>
      <c r="H45" s="644"/>
      <c r="I45" s="644"/>
      <c r="J45" s="440">
        <f>J16+J23+J31+J39+J44</f>
        <v>223648.56719302668</v>
      </c>
      <c r="K45" s="462">
        <f>K16+K23+K31+K39+K44</f>
        <v>4.4803774077154879</v>
      </c>
      <c r="L45" s="462">
        <f>L16+L23+L31+L39+L44</f>
        <v>15974.897656644764</v>
      </c>
      <c r="M45" s="458">
        <f>M16+M23+M31+M39+M44</f>
        <v>1</v>
      </c>
      <c r="N45" s="460">
        <f t="shared" si="6"/>
        <v>0.52385772930758723</v>
      </c>
      <c r="O45" s="81"/>
      <c r="P45" s="81"/>
      <c r="Q45" s="81"/>
      <c r="R45" s="81"/>
      <c r="S45" s="81"/>
      <c r="T45" s="81"/>
      <c r="U45" s="81"/>
      <c r="V45" s="81"/>
      <c r="W45" s="81"/>
      <c r="X45" s="81"/>
      <c r="Y45" s="81"/>
      <c r="Z45" s="81"/>
    </row>
    <row r="46" spans="1:26" x14ac:dyDescent="0.2">
      <c r="A46" s="81"/>
      <c r="B46" s="441"/>
      <c r="C46" s="441"/>
      <c r="D46" s="441"/>
      <c r="E46" s="441"/>
      <c r="F46" s="441"/>
      <c r="G46" s="441"/>
      <c r="H46" s="441"/>
      <c r="I46" s="441"/>
      <c r="J46" s="417"/>
      <c r="K46" s="417"/>
      <c r="L46" s="417"/>
      <c r="M46" s="417"/>
      <c r="N46" s="417"/>
      <c r="O46" s="417"/>
      <c r="P46" s="81"/>
      <c r="Q46" s="81"/>
      <c r="R46" s="81"/>
      <c r="S46" s="81"/>
      <c r="T46" s="81"/>
      <c r="U46" s="81"/>
      <c r="V46" s="81"/>
      <c r="W46" s="81"/>
      <c r="X46" s="81"/>
      <c r="Y46" s="81"/>
      <c r="Z46" s="81"/>
    </row>
    <row r="47" spans="1:26" x14ac:dyDescent="0.2">
      <c r="A47" s="81"/>
      <c r="B47" s="626" t="s">
        <v>838</v>
      </c>
      <c r="C47" s="627"/>
      <c r="D47" s="627"/>
      <c r="E47" s="627"/>
      <c r="F47" s="627"/>
      <c r="G47" s="627"/>
      <c r="H47" s="627"/>
      <c r="I47" s="627"/>
      <c r="J47" s="440">
        <f>J45+J11</f>
        <v>380020.37571102666</v>
      </c>
      <c r="K47" s="440">
        <f>K45+K11</f>
        <v>7.6129917896488237</v>
      </c>
      <c r="L47" s="440">
        <f>L45+L11</f>
        <v>27144.312550787618</v>
      </c>
      <c r="M47" s="5"/>
      <c r="N47" s="460">
        <f t="shared" si="6"/>
        <v>0.89013139502376293</v>
      </c>
      <c r="O47" s="81"/>
      <c r="P47" s="81"/>
      <c r="Q47" s="81"/>
      <c r="R47" s="81"/>
      <c r="S47" s="81"/>
      <c r="T47" s="81"/>
      <c r="U47" s="81"/>
      <c r="V47" s="81"/>
      <c r="W47" s="81"/>
      <c r="X47" s="81"/>
      <c r="Y47" s="81"/>
      <c r="Z47" s="81"/>
    </row>
    <row r="48" spans="1:26" x14ac:dyDescent="0.2">
      <c r="A48" s="81"/>
      <c r="B48" s="441"/>
      <c r="C48" s="441"/>
      <c r="D48" s="441"/>
      <c r="E48" s="441"/>
      <c r="F48" s="441"/>
      <c r="G48" s="441"/>
      <c r="H48" s="441"/>
      <c r="I48" s="441"/>
      <c r="J48" s="417"/>
      <c r="K48" s="417"/>
      <c r="L48" s="417"/>
      <c r="M48" s="417"/>
      <c r="N48" s="417"/>
      <c r="O48" s="81"/>
      <c r="P48" s="81"/>
      <c r="Q48" s="81"/>
      <c r="R48" s="81"/>
      <c r="S48" s="81"/>
      <c r="T48" s="81"/>
      <c r="U48" s="81"/>
      <c r="V48" s="81"/>
      <c r="W48" s="81"/>
      <c r="X48" s="81"/>
      <c r="Y48" s="81"/>
      <c r="Z48" s="81"/>
    </row>
    <row r="49" spans="1:26" x14ac:dyDescent="0.2">
      <c r="A49" s="81"/>
      <c r="B49" s="637" t="s">
        <v>377</v>
      </c>
      <c r="C49" s="638"/>
      <c r="D49" s="638"/>
      <c r="E49" s="638"/>
      <c r="F49" s="638"/>
      <c r="G49" s="638"/>
      <c r="H49" s="638"/>
      <c r="I49" s="638"/>
      <c r="J49" s="442">
        <f>'4. Custo Total'!H7</f>
        <v>27779.48946447605</v>
      </c>
      <c r="K49" s="442">
        <f>J49/(IF('1.2. KM programada'!$D$7="x",SUM('1.2. KM programada'!$N$16:$P$26),IF('1.2. KM programada'!$D$7="X",SUM('1.2. KM programada'!$N$16:$P$111),'1.2. KM programada'!$D$10)))</f>
        <v>0.55650969982332898</v>
      </c>
      <c r="L49" s="442">
        <f>J49/SUM('1.3 Frota Total'!$C$19:$F$25)</f>
        <v>1984.2492474625749</v>
      </c>
      <c r="M49" s="5"/>
      <c r="N49" s="460">
        <f t="shared" si="6"/>
        <v>6.5068604976237066E-2</v>
      </c>
      <c r="O49" s="81"/>
      <c r="P49" s="81"/>
      <c r="Q49" s="81"/>
      <c r="R49" s="81"/>
      <c r="S49" s="81"/>
      <c r="T49" s="81"/>
      <c r="U49" s="81"/>
      <c r="V49" s="81"/>
      <c r="W49" s="81"/>
      <c r="X49" s="81"/>
      <c r="Y49" s="81"/>
      <c r="Z49" s="81"/>
    </row>
    <row r="50" spans="1:26" x14ac:dyDescent="0.2">
      <c r="A50" s="81"/>
      <c r="B50" s="417"/>
      <c r="C50" s="417"/>
      <c r="D50" s="417"/>
      <c r="E50" s="417"/>
      <c r="F50" s="417"/>
      <c r="G50" s="417"/>
      <c r="H50" s="417"/>
      <c r="I50" s="417"/>
      <c r="J50" s="417"/>
      <c r="K50" s="417"/>
      <c r="L50" s="417"/>
      <c r="M50" s="417"/>
      <c r="N50" s="459"/>
      <c r="O50" s="81"/>
      <c r="P50" s="81"/>
      <c r="Q50" s="81"/>
      <c r="R50" s="81"/>
      <c r="S50" s="81"/>
      <c r="T50" s="81"/>
      <c r="U50" s="81"/>
      <c r="V50" s="81"/>
      <c r="W50" s="81"/>
      <c r="X50" s="81"/>
      <c r="Y50" s="81"/>
      <c r="Z50" s="81"/>
    </row>
    <row r="51" spans="1:26" x14ac:dyDescent="0.2">
      <c r="A51" s="81"/>
      <c r="B51" s="81"/>
      <c r="C51" s="81"/>
      <c r="D51" s="81"/>
      <c r="E51" s="81"/>
      <c r="F51" s="81"/>
      <c r="G51" s="81"/>
      <c r="H51" s="81"/>
      <c r="I51" s="81"/>
      <c r="J51" s="81"/>
      <c r="K51" s="81"/>
      <c r="L51" s="81"/>
      <c r="M51" s="81"/>
      <c r="N51" s="446"/>
      <c r="O51" s="505"/>
      <c r="P51" s="81"/>
      <c r="Q51" s="81"/>
      <c r="R51" s="81"/>
      <c r="S51" s="81"/>
      <c r="T51" s="81"/>
      <c r="U51" s="81"/>
      <c r="V51" s="81"/>
      <c r="W51" s="81"/>
      <c r="X51" s="81"/>
      <c r="Y51" s="81"/>
      <c r="Z51" s="81"/>
    </row>
    <row r="52" spans="1:26" ht="13.5" customHeight="1" x14ac:dyDescent="0.2">
      <c r="P52" s="272"/>
      <c r="U52" s="81"/>
      <c r="V52" s="81"/>
      <c r="W52" s="81"/>
      <c r="X52" s="81"/>
      <c r="Y52" s="81"/>
      <c r="Z52" s="81"/>
    </row>
    <row r="53" spans="1:26" x14ac:dyDescent="0.2">
      <c r="B53" s="629" t="s">
        <v>943</v>
      </c>
      <c r="C53" s="630"/>
      <c r="D53" s="630"/>
      <c r="E53" s="630"/>
      <c r="F53" s="630"/>
      <c r="G53" s="630"/>
      <c r="H53" s="630"/>
      <c r="I53" s="630"/>
      <c r="J53" s="630"/>
      <c r="K53" s="630"/>
      <c r="L53" s="630"/>
      <c r="M53" s="630"/>
      <c r="N53" s="459"/>
    </row>
    <row r="54" spans="1:26" x14ac:dyDescent="0.2">
      <c r="B54" s="631" t="s">
        <v>950</v>
      </c>
      <c r="C54" s="632"/>
      <c r="D54" s="632"/>
      <c r="E54" s="632"/>
      <c r="F54" s="632"/>
      <c r="G54" s="632"/>
      <c r="H54" s="632"/>
      <c r="I54" s="632"/>
      <c r="J54" s="632"/>
      <c r="K54" s="632"/>
      <c r="L54" s="632"/>
      <c r="M54" s="512">
        <v>0.01</v>
      </c>
      <c r="N54" s="460">
        <f>J54/$J$64</f>
        <v>0</v>
      </c>
    </row>
    <row r="55" spans="1:26" x14ac:dyDescent="0.2">
      <c r="B55" s="619" t="s">
        <v>947</v>
      </c>
      <c r="C55" s="620"/>
      <c r="D55" s="620"/>
      <c r="E55" s="620"/>
      <c r="F55" s="620"/>
      <c r="G55" s="620"/>
      <c r="H55" s="620"/>
      <c r="I55" s="620"/>
      <c r="J55" s="620"/>
      <c r="K55" s="620"/>
      <c r="L55" s="620"/>
      <c r="M55" s="508">
        <v>1.0800000000000001E-2</v>
      </c>
      <c r="N55" s="460">
        <f t="shared" ref="N55:N60" si="7">J55/$J$64</f>
        <v>0</v>
      </c>
    </row>
    <row r="56" spans="1:26" x14ac:dyDescent="0.2">
      <c r="B56" s="619" t="s">
        <v>378</v>
      </c>
      <c r="C56" s="620"/>
      <c r="D56" s="620"/>
      <c r="E56" s="620"/>
      <c r="F56" s="620"/>
      <c r="G56" s="620"/>
      <c r="H56" s="620"/>
      <c r="I56" s="620"/>
      <c r="J56" s="620"/>
      <c r="K56" s="620"/>
      <c r="L56" s="620"/>
      <c r="M56" s="508">
        <v>0</v>
      </c>
      <c r="N56" s="460">
        <f t="shared" si="7"/>
        <v>0</v>
      </c>
    </row>
    <row r="57" spans="1:26" x14ac:dyDescent="0.2">
      <c r="B57" s="619" t="s">
        <v>379</v>
      </c>
      <c r="C57" s="620"/>
      <c r="D57" s="620"/>
      <c r="E57" s="620"/>
      <c r="F57" s="620"/>
      <c r="G57" s="620"/>
      <c r="H57" s="620"/>
      <c r="I57" s="620"/>
      <c r="J57" s="620"/>
      <c r="K57" s="620"/>
      <c r="L57" s="620"/>
      <c r="M57" s="508">
        <v>0</v>
      </c>
      <c r="N57" s="460">
        <f t="shared" si="7"/>
        <v>0</v>
      </c>
    </row>
    <row r="58" spans="1:26" x14ac:dyDescent="0.2">
      <c r="B58" s="619" t="s">
        <v>380</v>
      </c>
      <c r="C58" s="620"/>
      <c r="D58" s="620"/>
      <c r="E58" s="620"/>
      <c r="F58" s="620"/>
      <c r="G58" s="620"/>
      <c r="H58" s="620"/>
      <c r="I58" s="620"/>
      <c r="J58" s="620"/>
      <c r="K58" s="620"/>
      <c r="L58" s="620"/>
      <c r="M58" s="512">
        <v>0</v>
      </c>
      <c r="N58" s="460">
        <f t="shared" si="7"/>
        <v>0</v>
      </c>
    </row>
    <row r="59" spans="1:26" x14ac:dyDescent="0.2">
      <c r="B59" s="619" t="s">
        <v>851</v>
      </c>
      <c r="C59" s="620"/>
      <c r="D59" s="620"/>
      <c r="E59" s="620"/>
      <c r="F59" s="620"/>
      <c r="G59" s="620"/>
      <c r="H59" s="620"/>
      <c r="I59" s="620"/>
      <c r="J59" s="620"/>
      <c r="K59" s="620"/>
      <c r="L59" s="620"/>
      <c r="M59" s="512">
        <v>0</v>
      </c>
      <c r="N59" s="460">
        <f t="shared" si="7"/>
        <v>0</v>
      </c>
    </row>
    <row r="60" spans="1:26" x14ac:dyDescent="0.2">
      <c r="B60" s="621" t="s">
        <v>951</v>
      </c>
      <c r="C60" s="622"/>
      <c r="D60" s="622"/>
      <c r="E60" s="622"/>
      <c r="F60" s="622"/>
      <c r="G60" s="622"/>
      <c r="H60" s="622"/>
      <c r="I60" s="622"/>
      <c r="J60" s="622"/>
      <c r="K60" s="622"/>
      <c r="L60" s="622"/>
      <c r="M60" s="508">
        <v>2.4E-2</v>
      </c>
      <c r="N60" s="460">
        <f t="shared" si="7"/>
        <v>0</v>
      </c>
    </row>
    <row r="61" spans="1:26" x14ac:dyDescent="0.2">
      <c r="B61" s="623" t="s">
        <v>810</v>
      </c>
      <c r="C61" s="624"/>
      <c r="D61" s="624"/>
      <c r="E61" s="624"/>
      <c r="F61" s="624"/>
      <c r="G61" s="624"/>
      <c r="H61" s="624"/>
      <c r="I61" s="624"/>
      <c r="J61" s="624"/>
      <c r="K61" s="624"/>
      <c r="L61" s="625"/>
      <c r="M61" s="509">
        <f>SUM(M54:M60)</f>
        <v>4.48E-2</v>
      </c>
      <c r="N61" s="446"/>
    </row>
    <row r="62" spans="1:26" x14ac:dyDescent="0.2">
      <c r="B62" s="626" t="s">
        <v>850</v>
      </c>
      <c r="C62" s="627"/>
      <c r="D62" s="627"/>
      <c r="E62" s="627"/>
      <c r="F62" s="627"/>
      <c r="G62" s="627"/>
      <c r="H62" s="627"/>
      <c r="I62" s="628"/>
      <c r="J62" s="440">
        <f>(J47+J49)*(1/(1-M61)-1)</f>
        <v>19126.291834026892</v>
      </c>
      <c r="K62" s="440">
        <f>(K47+K49)*(1/(1-M61)-1)</f>
        <v>0.38315919883621408</v>
      </c>
      <c r="L62" s="440">
        <f>(L47+L49)*M61</f>
        <v>1304.9595685616086</v>
      </c>
      <c r="M62" s="5"/>
      <c r="N62" s="446" t="e">
        <f>J62/#REF!</f>
        <v>#REF!</v>
      </c>
    </row>
    <row r="63" spans="1:26" x14ac:dyDescent="0.2">
      <c r="B63" s="417"/>
      <c r="C63" s="417"/>
      <c r="D63" s="417"/>
      <c r="E63" s="417"/>
      <c r="F63" s="417"/>
      <c r="G63" s="417"/>
      <c r="H63" s="417"/>
      <c r="I63" s="417"/>
      <c r="J63" s="417"/>
      <c r="K63" s="417"/>
      <c r="L63" s="417"/>
      <c r="M63" s="417"/>
      <c r="N63" s="446"/>
    </row>
    <row r="64" spans="1:26" x14ac:dyDescent="0.2">
      <c r="B64" s="616" t="s">
        <v>814</v>
      </c>
      <c r="C64" s="617"/>
      <c r="D64" s="617"/>
      <c r="E64" s="617"/>
      <c r="F64" s="617"/>
      <c r="G64" s="617"/>
      <c r="H64" s="617"/>
      <c r="I64" s="618"/>
      <c r="J64" s="443">
        <f>(J11+J45+J49)/(1-M61)</f>
        <v>426926.15700952965</v>
      </c>
      <c r="K64" s="443">
        <f>K62+K49+K47</f>
        <v>8.5526606883083662</v>
      </c>
      <c r="L64" s="443">
        <f>L47+L49+L62</f>
        <v>30433.521366811801</v>
      </c>
      <c r="M64" s="5"/>
      <c r="N64" s="446"/>
    </row>
  </sheetData>
  <mergeCells count="48">
    <mergeCell ref="B28:I28"/>
    <mergeCell ref="B29:I29"/>
    <mergeCell ref="B26:I26"/>
    <mergeCell ref="B27:I27"/>
    <mergeCell ref="B16:I16"/>
    <mergeCell ref="B14:I14"/>
    <mergeCell ref="B23:I23"/>
    <mergeCell ref="B21:I21"/>
    <mergeCell ref="B20:I20"/>
    <mergeCell ref="B25:I25"/>
    <mergeCell ref="B22:I22"/>
    <mergeCell ref="B18:I18"/>
    <mergeCell ref="B19:I19"/>
    <mergeCell ref="B15:I15"/>
    <mergeCell ref="B2:M2"/>
    <mergeCell ref="B4:I4"/>
    <mergeCell ref="B11:I11"/>
    <mergeCell ref="B6:I6"/>
    <mergeCell ref="B7:I7"/>
    <mergeCell ref="B8:I8"/>
    <mergeCell ref="B10:I10"/>
    <mergeCell ref="B9:I9"/>
    <mergeCell ref="B49:I49"/>
    <mergeCell ref="B37:I37"/>
    <mergeCell ref="B39:I39"/>
    <mergeCell ref="B44:I44"/>
    <mergeCell ref="B43:I43"/>
    <mergeCell ref="B45:I45"/>
    <mergeCell ref="B42:I42"/>
    <mergeCell ref="B47:I47"/>
    <mergeCell ref="B31:I31"/>
    <mergeCell ref="B38:I38"/>
    <mergeCell ref="B41:I41"/>
    <mergeCell ref="B34:I34"/>
    <mergeCell ref="B33:I33"/>
    <mergeCell ref="B36:I36"/>
    <mergeCell ref="B35:I35"/>
    <mergeCell ref="B53:M53"/>
    <mergeCell ref="B54:L54"/>
    <mergeCell ref="B55:L55"/>
    <mergeCell ref="B56:L56"/>
    <mergeCell ref="B57:L57"/>
    <mergeCell ref="B64:I64"/>
    <mergeCell ref="B58:L58"/>
    <mergeCell ref="B59:L59"/>
    <mergeCell ref="B60:L60"/>
    <mergeCell ref="B61:L61"/>
    <mergeCell ref="B62:I62"/>
  </mergeCell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ilha26">
    <tabColor theme="6" tint="0.39997558519241921"/>
  </sheetPr>
  <dimension ref="A1:J15"/>
  <sheetViews>
    <sheetView workbookViewId="0">
      <selection activeCell="C9" sqref="C9:D9"/>
    </sheetView>
  </sheetViews>
  <sheetFormatPr defaultRowHeight="12.75" x14ac:dyDescent="0.2"/>
  <cols>
    <col min="1" max="1" width="14.85546875" customWidth="1"/>
    <col min="2" max="2" width="23.85546875" customWidth="1"/>
    <col min="3" max="3" width="14.28515625" customWidth="1"/>
    <col min="4" max="4" width="16.7109375" customWidth="1"/>
    <col min="9" max="9" width="38.7109375" bestFit="1" customWidth="1"/>
  </cols>
  <sheetData>
    <row r="1" spans="1:10" x14ac:dyDescent="0.2">
      <c r="A1" s="468" t="s">
        <v>860</v>
      </c>
    </row>
    <row r="3" spans="1:10" ht="15" x14ac:dyDescent="0.25">
      <c r="A3" s="303" t="s">
        <v>865</v>
      </c>
    </row>
    <row r="4" spans="1:10" ht="15.75" thickBot="1" x14ac:dyDescent="0.3">
      <c r="A4" s="303"/>
    </row>
    <row r="5" spans="1:10" ht="20.25" thickBot="1" x14ac:dyDescent="0.25">
      <c r="A5" s="655"/>
      <c r="B5" s="656"/>
      <c r="C5" s="405" t="s">
        <v>866</v>
      </c>
      <c r="D5" s="405" t="s">
        <v>867</v>
      </c>
      <c r="G5" s="518" t="s">
        <v>83</v>
      </c>
      <c r="H5" s="519"/>
      <c r="I5" s="519"/>
      <c r="J5" s="520"/>
    </row>
    <row r="6" spans="1:10" ht="16.5" thickBot="1" x14ac:dyDescent="0.3">
      <c r="A6" s="407"/>
      <c r="B6" s="408" t="s">
        <v>863</v>
      </c>
      <c r="C6" s="411">
        <v>0.24</v>
      </c>
      <c r="D6" s="411">
        <v>0.28999999999999998</v>
      </c>
      <c r="G6" s="33"/>
      <c r="H6" s="64"/>
      <c r="I6" s="64"/>
      <c r="J6" s="34"/>
    </row>
    <row r="7" spans="1:10" ht="16.5" thickBot="1" x14ac:dyDescent="0.3">
      <c r="A7" s="407"/>
      <c r="B7" s="408" t="s">
        <v>11</v>
      </c>
      <c r="C7" s="411">
        <v>0.3</v>
      </c>
      <c r="D7" s="411">
        <v>0.34</v>
      </c>
      <c r="G7" s="35"/>
      <c r="H7" s="2"/>
      <c r="I7" s="44" t="s">
        <v>81</v>
      </c>
      <c r="J7" s="36"/>
    </row>
    <row r="8" spans="1:10" ht="16.5" thickBot="1" x14ac:dyDescent="0.3">
      <c r="A8" s="407" t="s">
        <v>118</v>
      </c>
      <c r="B8" s="408" t="s">
        <v>12</v>
      </c>
      <c r="C8" s="411">
        <v>0.34</v>
      </c>
      <c r="D8" s="411">
        <v>0.38</v>
      </c>
      <c r="G8" s="35"/>
      <c r="H8" s="4"/>
      <c r="I8" s="44" t="s">
        <v>93</v>
      </c>
      <c r="J8" s="36"/>
    </row>
    <row r="9" spans="1:10" ht="16.5" thickBot="1" x14ac:dyDescent="0.3">
      <c r="A9" s="407" t="s">
        <v>861</v>
      </c>
      <c r="B9" s="408" t="s">
        <v>13</v>
      </c>
      <c r="C9" s="411">
        <v>0.37</v>
      </c>
      <c r="D9" s="411">
        <v>0.45</v>
      </c>
      <c r="G9" s="35"/>
      <c r="H9" s="43"/>
      <c r="I9" s="44" t="s">
        <v>82</v>
      </c>
      <c r="J9" s="36"/>
    </row>
    <row r="10" spans="1:10" ht="16.5" thickBot="1" x14ac:dyDescent="0.3">
      <c r="A10" s="407" t="s">
        <v>862</v>
      </c>
      <c r="B10" s="408" t="s">
        <v>14</v>
      </c>
      <c r="C10" s="411">
        <v>0.45</v>
      </c>
      <c r="D10" s="411">
        <v>0.65</v>
      </c>
      <c r="G10" s="37"/>
      <c r="H10" s="38"/>
      <c r="I10" s="38"/>
      <c r="J10" s="39"/>
    </row>
    <row r="11" spans="1:10" ht="16.5" thickBot="1" x14ac:dyDescent="0.25">
      <c r="A11" s="409"/>
      <c r="B11" s="408" t="s">
        <v>15</v>
      </c>
      <c r="C11" s="411">
        <v>0.65</v>
      </c>
      <c r="D11" s="411">
        <v>0.85</v>
      </c>
    </row>
    <row r="12" spans="1:10" ht="16.5" thickBot="1" x14ac:dyDescent="0.25">
      <c r="A12" s="410"/>
      <c r="B12" s="408" t="s">
        <v>16</v>
      </c>
      <c r="C12" s="411">
        <v>0.86</v>
      </c>
      <c r="D12" s="411">
        <v>0.95</v>
      </c>
    </row>
    <row r="15" spans="1:10" x14ac:dyDescent="0.2">
      <c r="A15" s="406" t="s">
        <v>864</v>
      </c>
    </row>
  </sheetData>
  <mergeCells count="2">
    <mergeCell ref="G5:J5"/>
    <mergeCell ref="A5:B5"/>
  </mergeCells>
  <hyperlinks>
    <hyperlink ref="A1" location="'2.1.a Combustível'!A1" display="ANEXO III – Consumo de combustível" xr:uid="{00000000-0004-0000-1900-000000000000}"/>
  </hyperlinks>
  <pageMargins left="0.511811024" right="0.511811024" top="0.78740157499999996" bottom="0.78740157499999996" header="0.31496062000000002" footer="0.31496062000000002"/>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ilha27">
    <tabColor theme="6" tint="0.39997558519241921"/>
  </sheetPr>
  <dimension ref="A1:J10"/>
  <sheetViews>
    <sheetView workbookViewId="0"/>
  </sheetViews>
  <sheetFormatPr defaultRowHeight="12.75" x14ac:dyDescent="0.2"/>
  <cols>
    <col min="1" max="1" width="27.42578125" customWidth="1"/>
    <col min="2" max="8" width="9.140625" customWidth="1"/>
    <col min="9" max="9" width="31.140625" customWidth="1"/>
  </cols>
  <sheetData>
    <row r="1" spans="1:10" x14ac:dyDescent="0.2">
      <c r="A1" s="468" t="s">
        <v>591</v>
      </c>
    </row>
    <row r="3" spans="1:10" ht="15.75" customHeight="1" x14ac:dyDescent="0.25">
      <c r="A3" s="303" t="s">
        <v>677</v>
      </c>
    </row>
    <row r="4" spans="1:10" ht="15.75" customHeight="1" thickBot="1" x14ac:dyDescent="0.3">
      <c r="A4" s="303"/>
    </row>
    <row r="5" spans="1:10" ht="16.5" customHeight="1" thickBot="1" x14ac:dyDescent="0.25">
      <c r="A5" s="657" t="s">
        <v>225</v>
      </c>
      <c r="B5" s="657"/>
      <c r="C5" s="657"/>
      <c r="D5" s="659" t="s">
        <v>251</v>
      </c>
      <c r="E5" s="661" t="s">
        <v>252</v>
      </c>
      <c r="G5" s="518" t="s">
        <v>83</v>
      </c>
      <c r="H5" s="519"/>
      <c r="I5" s="519"/>
      <c r="J5" s="520"/>
    </row>
    <row r="6" spans="1:10" ht="15" x14ac:dyDescent="0.25">
      <c r="A6" s="657"/>
      <c r="B6" s="657"/>
      <c r="C6" s="657"/>
      <c r="D6" s="660"/>
      <c r="E6" s="662"/>
      <c r="G6" s="33"/>
      <c r="H6" s="64"/>
      <c r="I6" s="64"/>
      <c r="J6" s="34"/>
    </row>
    <row r="7" spans="1:10" ht="15.75" x14ac:dyDescent="0.25">
      <c r="A7" s="657"/>
      <c r="B7" s="657"/>
      <c r="C7" s="658"/>
      <c r="D7" s="304">
        <v>2.6499999999999999E-2</v>
      </c>
      <c r="E7" s="304" t="s">
        <v>226</v>
      </c>
      <c r="G7" s="35"/>
      <c r="H7" s="2"/>
      <c r="I7" s="44" t="s">
        <v>81</v>
      </c>
      <c r="J7" s="36"/>
    </row>
    <row r="8" spans="1:10" ht="15" x14ac:dyDescent="0.25">
      <c r="G8" s="35"/>
      <c r="H8" s="4"/>
      <c r="I8" s="44" t="s">
        <v>93</v>
      </c>
      <c r="J8" s="36"/>
    </row>
    <row r="9" spans="1:10" ht="15" x14ac:dyDescent="0.25">
      <c r="G9" s="35"/>
      <c r="H9" s="43"/>
      <c r="I9" s="44" t="s">
        <v>82</v>
      </c>
      <c r="J9" s="36"/>
    </row>
    <row r="10" spans="1:10" ht="15.75" thickBot="1" x14ac:dyDescent="0.3">
      <c r="G10" s="37"/>
      <c r="H10" s="38"/>
      <c r="I10" s="38"/>
      <c r="J10" s="39"/>
    </row>
  </sheetData>
  <mergeCells count="4">
    <mergeCell ref="G5:J5"/>
    <mergeCell ref="A5:C7"/>
    <mergeCell ref="D5:D6"/>
    <mergeCell ref="E5:E6"/>
  </mergeCells>
  <hyperlinks>
    <hyperlink ref="A1" location="'2.1.c Insumos'!A1" display="ANEXO IV – RELAÇÃO ENTRE O PREÇO DE LUBRIFICANTES E CONSUMO DE ÓLEO DIESEL" xr:uid="{00000000-0004-0000-1A00-000000000000}"/>
  </hyperlinks>
  <pageMargins left="0.511811024" right="0.511811024" top="0.78740157499999996" bottom="0.78740157499999996" header="0.31496062000000002" footer="0.31496062000000002"/>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ilha28">
    <tabColor theme="6" tint="0.39997558519241921"/>
  </sheetPr>
  <dimension ref="A1:K11"/>
  <sheetViews>
    <sheetView workbookViewId="0"/>
  </sheetViews>
  <sheetFormatPr defaultRowHeight="12.75" x14ac:dyDescent="0.2"/>
  <cols>
    <col min="1" max="1" width="5.5703125" bestFit="1" customWidth="1"/>
    <col min="2" max="4" width="9.140625" customWidth="1"/>
    <col min="5" max="5" width="10.85546875" bestFit="1" customWidth="1"/>
    <col min="6" max="6" width="11.28515625" bestFit="1" customWidth="1"/>
    <col min="7" max="7" width="9.140625" customWidth="1"/>
    <col min="8" max="8" width="5.85546875" customWidth="1"/>
    <col min="9" max="9" width="9.140625" customWidth="1"/>
    <col min="10" max="10" width="38.7109375" bestFit="1" customWidth="1"/>
    <col min="11" max="11" width="1.140625" customWidth="1"/>
  </cols>
  <sheetData>
    <row r="1" spans="1:11" ht="15" x14ac:dyDescent="0.25">
      <c r="A1" s="20" t="s">
        <v>669</v>
      </c>
    </row>
    <row r="3" spans="1:11" s="6" customFormat="1" ht="15" x14ac:dyDescent="0.25">
      <c r="A3" s="22" t="s">
        <v>678</v>
      </c>
      <c r="B3" s="27" t="s">
        <v>213</v>
      </c>
    </row>
    <row r="4" spans="1:11" s="6" customFormat="1" ht="15.75" thickBot="1" x14ac:dyDescent="0.3">
      <c r="A4" s="22"/>
      <c r="B4" s="27"/>
    </row>
    <row r="5" spans="1:11" s="6" customFormat="1" ht="32.25" thickBot="1" x14ac:dyDescent="0.3">
      <c r="A5" s="663" t="s">
        <v>212</v>
      </c>
      <c r="B5" s="663"/>
      <c r="C5" s="663"/>
      <c r="D5" s="664"/>
      <c r="E5" s="143" t="s">
        <v>871</v>
      </c>
      <c r="F5" s="143" t="s">
        <v>872</v>
      </c>
      <c r="H5" s="518" t="s">
        <v>83</v>
      </c>
      <c r="I5" s="519"/>
      <c r="J5" s="519"/>
      <c r="K5" s="520"/>
    </row>
    <row r="6" spans="1:11" s="6" customFormat="1" ht="15.75" customHeight="1" x14ac:dyDescent="0.25">
      <c r="A6" s="663"/>
      <c r="B6" s="663"/>
      <c r="C6" s="663"/>
      <c r="D6" s="664"/>
      <c r="E6" s="142">
        <v>0.03</v>
      </c>
      <c r="F6" s="142">
        <v>0.05</v>
      </c>
      <c r="H6" s="33"/>
      <c r="I6" s="64"/>
      <c r="J6" s="64"/>
      <c r="K6" s="34"/>
    </row>
    <row r="7" spans="1:11" s="6" customFormat="1" ht="15.75" customHeight="1" x14ac:dyDescent="0.25">
      <c r="A7" s="27"/>
      <c r="B7" s="27"/>
      <c r="C7" s="27"/>
      <c r="D7" s="27"/>
      <c r="H7" s="35"/>
      <c r="I7" s="2"/>
      <c r="J7" s="44" t="s">
        <v>81</v>
      </c>
      <c r="K7" s="36"/>
    </row>
    <row r="8" spans="1:11" s="6" customFormat="1" ht="15" customHeight="1" x14ac:dyDescent="0.25">
      <c r="A8"/>
      <c r="B8"/>
      <c r="C8"/>
      <c r="D8"/>
      <c r="E8"/>
      <c r="F8"/>
      <c r="H8" s="35"/>
      <c r="I8" s="4"/>
      <c r="J8" s="44" t="s">
        <v>93</v>
      </c>
      <c r="K8" s="36"/>
    </row>
    <row r="9" spans="1:11" s="6" customFormat="1" ht="15" x14ac:dyDescent="0.25">
      <c r="A9"/>
      <c r="B9"/>
      <c r="C9"/>
      <c r="D9"/>
      <c r="E9"/>
      <c r="F9"/>
      <c r="H9" s="35"/>
      <c r="I9" s="43"/>
      <c r="J9" s="44" t="s">
        <v>82</v>
      </c>
      <c r="K9" s="36"/>
    </row>
    <row r="10" spans="1:11" s="6" customFormat="1" ht="15.75" thickBot="1" x14ac:dyDescent="0.3">
      <c r="A10"/>
      <c r="B10"/>
      <c r="C10"/>
      <c r="D10"/>
      <c r="E10"/>
      <c r="F10"/>
      <c r="H10" s="37"/>
      <c r="I10" s="38"/>
      <c r="J10" s="38"/>
      <c r="K10" s="39"/>
    </row>
    <row r="11" spans="1:11" s="6" customFormat="1" ht="15" x14ac:dyDescent="0.25">
      <c r="A11"/>
      <c r="B11"/>
      <c r="C11"/>
      <c r="D11"/>
      <c r="E11"/>
      <c r="F11"/>
    </row>
  </sheetData>
  <mergeCells count="2">
    <mergeCell ref="H5:K5"/>
    <mergeCell ref="A5:D6"/>
  </mergeCell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ilha29">
    <tabColor theme="6" tint="0.59999389629810485"/>
  </sheetPr>
  <dimension ref="A1:M60"/>
  <sheetViews>
    <sheetView topLeftCell="A34" workbookViewId="0">
      <selection activeCell="D5" sqref="D5"/>
    </sheetView>
  </sheetViews>
  <sheetFormatPr defaultColWidth="11.42578125" defaultRowHeight="15" x14ac:dyDescent="0.25"/>
  <cols>
    <col min="1" max="1" width="5" style="6" customWidth="1"/>
    <col min="2" max="2" width="21" style="6" customWidth="1"/>
    <col min="3" max="3" width="10" style="6" hidden="1" customWidth="1"/>
    <col min="4" max="4" width="18.42578125" style="6" customWidth="1"/>
    <col min="5" max="5" width="10" style="6" customWidth="1"/>
    <col min="6" max="6" width="8.140625" style="6" customWidth="1"/>
    <col min="7" max="7" width="15.28515625" style="6" customWidth="1"/>
    <col min="8" max="8" width="5.5703125" style="6" bestFit="1" customWidth="1"/>
    <col min="9" max="9" width="11.42578125" style="6" customWidth="1"/>
    <col min="10" max="10" width="4.7109375" style="6" customWidth="1"/>
    <col min="11" max="11" width="11.42578125" style="6" customWidth="1"/>
    <col min="12" max="12" width="38.7109375" style="6" bestFit="1" customWidth="1"/>
    <col min="13" max="13" width="0.85546875" style="6" customWidth="1"/>
    <col min="14" max="14" width="37.85546875" style="6" customWidth="1"/>
    <col min="15" max="16384" width="11.42578125" style="6"/>
  </cols>
  <sheetData>
    <row r="1" spans="1:13" x14ac:dyDescent="0.25">
      <c r="A1" s="468" t="s">
        <v>670</v>
      </c>
    </row>
    <row r="3" spans="1:13" ht="15.75" thickBot="1" x14ac:dyDescent="0.3">
      <c r="A3" s="27" t="s">
        <v>675</v>
      </c>
      <c r="B3" s="27" t="s">
        <v>55</v>
      </c>
    </row>
    <row r="4" spans="1:13" ht="15" customHeight="1" thickBot="1" x14ac:dyDescent="0.3">
      <c r="A4" s="668" t="s">
        <v>57</v>
      </c>
      <c r="B4" s="669"/>
      <c r="C4" s="670"/>
      <c r="D4" s="55">
        <v>2</v>
      </c>
      <c r="F4" s="241"/>
      <c r="J4" s="518" t="s">
        <v>83</v>
      </c>
      <c r="K4" s="519"/>
      <c r="L4" s="519"/>
      <c r="M4" s="520"/>
    </row>
    <row r="5" spans="1:13" x14ac:dyDescent="0.25">
      <c r="A5" s="668" t="s">
        <v>56</v>
      </c>
      <c r="B5" s="669"/>
      <c r="C5" s="670"/>
      <c r="D5" s="55">
        <v>3</v>
      </c>
      <c r="F5" s="46"/>
      <c r="J5" s="33"/>
      <c r="K5" s="64"/>
      <c r="L5" s="64"/>
      <c r="M5" s="34"/>
    </row>
    <row r="6" spans="1:13" x14ac:dyDescent="0.25">
      <c r="A6" s="27"/>
      <c r="B6" s="27"/>
      <c r="J6" s="35"/>
      <c r="K6" s="2"/>
      <c r="L6" s="44" t="s">
        <v>81</v>
      </c>
      <c r="M6" s="36"/>
    </row>
    <row r="7" spans="1:13" x14ac:dyDescent="0.25">
      <c r="A7" s="27" t="s">
        <v>676</v>
      </c>
      <c r="B7" s="27" t="s">
        <v>58</v>
      </c>
      <c r="G7" s="20"/>
      <c r="J7" s="35"/>
      <c r="K7" s="4"/>
      <c r="L7" s="44" t="s">
        <v>93</v>
      </c>
      <c r="M7" s="36"/>
    </row>
    <row r="8" spans="1:13" x14ac:dyDescent="0.25">
      <c r="A8" s="689" t="s">
        <v>7</v>
      </c>
      <c r="B8" s="699"/>
      <c r="C8" s="690"/>
      <c r="D8" s="686" t="s">
        <v>94</v>
      </c>
      <c r="E8" s="672" t="s">
        <v>95</v>
      </c>
      <c r="F8" s="673"/>
      <c r="J8" s="35"/>
      <c r="K8" s="43"/>
      <c r="L8" s="44" t="s">
        <v>82</v>
      </c>
      <c r="M8" s="36"/>
    </row>
    <row r="9" spans="1:13" ht="15.75" thickBot="1" x14ac:dyDescent="0.3">
      <c r="A9" s="691"/>
      <c r="B9" s="700"/>
      <c r="C9" s="692"/>
      <c r="D9" s="686"/>
      <c r="E9" s="674"/>
      <c r="F9" s="675"/>
      <c r="J9" s="37"/>
      <c r="K9" s="38"/>
      <c r="L9" s="38"/>
      <c r="M9" s="39"/>
    </row>
    <row r="10" spans="1:13" ht="15" customHeight="1" x14ac:dyDescent="0.25">
      <c r="A10" s="665" t="s">
        <v>10</v>
      </c>
      <c r="B10" s="666"/>
      <c r="C10" s="667"/>
      <c r="D10" s="55">
        <v>85000</v>
      </c>
      <c r="E10" s="676">
        <v>125000</v>
      </c>
      <c r="F10" s="677"/>
      <c r="G10" s="671" t="s">
        <v>23</v>
      </c>
    </row>
    <row r="11" spans="1:13" x14ac:dyDescent="0.25">
      <c r="A11" s="665" t="s">
        <v>11</v>
      </c>
      <c r="B11" s="666"/>
      <c r="C11" s="667"/>
      <c r="D11" s="55">
        <v>85000</v>
      </c>
      <c r="E11" s="676">
        <v>125000</v>
      </c>
      <c r="F11" s="677"/>
      <c r="G11" s="671"/>
    </row>
    <row r="12" spans="1:13" ht="15" customHeight="1" x14ac:dyDescent="0.25">
      <c r="A12" s="665" t="s">
        <v>12</v>
      </c>
      <c r="B12" s="666"/>
      <c r="C12" s="667"/>
      <c r="D12" s="55">
        <v>85000</v>
      </c>
      <c r="E12" s="676">
        <v>125000</v>
      </c>
      <c r="F12" s="677"/>
      <c r="G12" s="671"/>
    </row>
    <row r="13" spans="1:13" x14ac:dyDescent="0.25">
      <c r="A13" s="665" t="s">
        <v>13</v>
      </c>
      <c r="B13" s="666"/>
      <c r="C13" s="667"/>
      <c r="D13" s="55">
        <v>85000</v>
      </c>
      <c r="E13" s="676">
        <v>105000</v>
      </c>
      <c r="F13" s="677"/>
      <c r="G13" s="671"/>
    </row>
    <row r="14" spans="1:13" ht="15" customHeight="1" x14ac:dyDescent="0.25">
      <c r="A14" s="665" t="s">
        <v>14</v>
      </c>
      <c r="B14" s="666"/>
      <c r="C14" s="667"/>
      <c r="D14" s="55">
        <v>85000</v>
      </c>
      <c r="E14" s="676">
        <v>105000</v>
      </c>
      <c r="F14" s="677"/>
      <c r="G14" s="671"/>
    </row>
    <row r="15" spans="1:13" x14ac:dyDescent="0.25">
      <c r="A15" s="665" t="s">
        <v>15</v>
      </c>
      <c r="B15" s="666"/>
      <c r="C15" s="667"/>
      <c r="D15" s="55">
        <v>85000</v>
      </c>
      <c r="E15" s="676">
        <v>105000</v>
      </c>
      <c r="F15" s="677"/>
      <c r="G15" s="671"/>
    </row>
    <row r="16" spans="1:13" x14ac:dyDescent="0.25">
      <c r="A16" s="665" t="s">
        <v>16</v>
      </c>
      <c r="B16" s="666"/>
      <c r="C16" s="667"/>
      <c r="D16" s="55">
        <v>85000</v>
      </c>
      <c r="E16" s="676">
        <v>125000</v>
      </c>
      <c r="F16" s="677"/>
      <c r="G16" s="671"/>
    </row>
    <row r="17" spans="1:8" ht="15" customHeight="1" x14ac:dyDescent="0.25">
      <c r="A17" s="27"/>
      <c r="B17" s="27"/>
    </row>
    <row r="18" spans="1:8" x14ac:dyDescent="0.25">
      <c r="A18" s="27" t="s">
        <v>679</v>
      </c>
      <c r="B18" s="27" t="s">
        <v>66</v>
      </c>
    </row>
    <row r="19" spans="1:8" x14ac:dyDescent="0.25">
      <c r="A19" s="689" t="s">
        <v>7</v>
      </c>
      <c r="B19" s="699"/>
      <c r="C19" s="690"/>
      <c r="D19" s="686" t="s">
        <v>59</v>
      </c>
      <c r="E19" s="689" t="s">
        <v>61</v>
      </c>
      <c r="F19" s="690"/>
      <c r="G19" s="687" t="s">
        <v>65</v>
      </c>
    </row>
    <row r="20" spans="1:8" x14ac:dyDescent="0.25">
      <c r="A20" s="691"/>
      <c r="B20" s="700"/>
      <c r="C20" s="692"/>
      <c r="D20" s="686"/>
      <c r="E20" s="691"/>
      <c r="F20" s="692"/>
      <c r="G20" s="688"/>
    </row>
    <row r="21" spans="1:8" ht="15" customHeight="1" x14ac:dyDescent="0.25">
      <c r="A21" s="665" t="s">
        <v>10</v>
      </c>
      <c r="B21" s="666"/>
      <c r="C21" s="667"/>
      <c r="D21" s="55" t="s">
        <v>60</v>
      </c>
      <c r="E21" s="693" t="s">
        <v>64</v>
      </c>
      <c r="F21" s="694"/>
      <c r="G21" s="55">
        <v>6</v>
      </c>
      <c r="H21" s="701" t="s">
        <v>87</v>
      </c>
    </row>
    <row r="22" spans="1:8" x14ac:dyDescent="0.25">
      <c r="A22" s="665" t="s">
        <v>11</v>
      </c>
      <c r="B22" s="666"/>
      <c r="C22" s="667"/>
      <c r="D22" s="55" t="s">
        <v>60</v>
      </c>
      <c r="E22" s="695"/>
      <c r="F22" s="696"/>
      <c r="G22" s="55">
        <v>6</v>
      </c>
      <c r="H22" s="701"/>
    </row>
    <row r="23" spans="1:8" x14ac:dyDescent="0.25">
      <c r="A23" s="665" t="s">
        <v>12</v>
      </c>
      <c r="B23" s="666"/>
      <c r="C23" s="667"/>
      <c r="D23" s="55" t="s">
        <v>62</v>
      </c>
      <c r="E23" s="695"/>
      <c r="F23" s="696"/>
      <c r="G23" s="55">
        <v>6</v>
      </c>
      <c r="H23" s="701"/>
    </row>
    <row r="24" spans="1:8" x14ac:dyDescent="0.25">
      <c r="A24" s="665" t="s">
        <v>13</v>
      </c>
      <c r="B24" s="666"/>
      <c r="C24" s="667"/>
      <c r="D24" s="106" t="s">
        <v>62</v>
      </c>
      <c r="E24" s="695"/>
      <c r="F24" s="696"/>
      <c r="G24" s="55">
        <v>6</v>
      </c>
      <c r="H24" s="701"/>
    </row>
    <row r="25" spans="1:8" x14ac:dyDescent="0.25">
      <c r="A25" s="665" t="s">
        <v>14</v>
      </c>
      <c r="B25" s="666"/>
      <c r="C25" s="667"/>
      <c r="D25" s="55" t="s">
        <v>63</v>
      </c>
      <c r="E25" s="695"/>
      <c r="F25" s="696"/>
      <c r="G25" s="55">
        <v>6</v>
      </c>
      <c r="H25" s="701"/>
    </row>
    <row r="26" spans="1:8" x14ac:dyDescent="0.25">
      <c r="A26" s="665" t="s">
        <v>15</v>
      </c>
      <c r="B26" s="666"/>
      <c r="C26" s="667"/>
      <c r="D26" s="55" t="s">
        <v>63</v>
      </c>
      <c r="E26" s="695"/>
      <c r="F26" s="696"/>
      <c r="G26" s="55">
        <v>10</v>
      </c>
      <c r="H26" s="701"/>
    </row>
    <row r="27" spans="1:8" x14ac:dyDescent="0.25">
      <c r="A27" s="665" t="s">
        <v>16</v>
      </c>
      <c r="B27" s="666"/>
      <c r="C27" s="667"/>
      <c r="D27" s="55" t="s">
        <v>63</v>
      </c>
      <c r="E27" s="697"/>
      <c r="F27" s="698"/>
      <c r="G27" s="55">
        <v>14</v>
      </c>
      <c r="H27" s="701"/>
    </row>
    <row r="29" spans="1:8" x14ac:dyDescent="0.25">
      <c r="A29" s="27" t="s">
        <v>680</v>
      </c>
      <c r="B29" s="27" t="s">
        <v>84</v>
      </c>
    </row>
    <row r="30" spans="1:8" ht="15" customHeight="1" x14ac:dyDescent="0.25">
      <c r="A30" s="594" t="s">
        <v>7</v>
      </c>
      <c r="B30" s="595"/>
      <c r="C30" s="602"/>
      <c r="D30" s="680" t="s">
        <v>92</v>
      </c>
      <c r="E30" s="685" t="s">
        <v>85</v>
      </c>
      <c r="F30" s="685"/>
    </row>
    <row r="31" spans="1:8" x14ac:dyDescent="0.25">
      <c r="A31" s="596"/>
      <c r="B31" s="597"/>
      <c r="C31" s="603"/>
      <c r="D31" s="681"/>
      <c r="E31" s="685"/>
      <c r="F31" s="685"/>
    </row>
    <row r="32" spans="1:8" ht="15" customHeight="1" x14ac:dyDescent="0.25">
      <c r="A32" s="592" t="s">
        <v>10</v>
      </c>
      <c r="B32" s="593"/>
      <c r="C32" s="601"/>
      <c r="D32" s="122">
        <v>2</v>
      </c>
      <c r="E32" s="684">
        <f>G21*D32*'2.1.c Insumos'!$F$22</f>
        <v>0</v>
      </c>
      <c r="F32" s="684"/>
    </row>
    <row r="33" spans="1:13" x14ac:dyDescent="0.25">
      <c r="A33" s="592" t="s">
        <v>11</v>
      </c>
      <c r="B33" s="593"/>
      <c r="C33" s="601"/>
      <c r="D33" s="122">
        <v>2</v>
      </c>
      <c r="E33" s="684">
        <f>G22*D33*'2.1.c Insumos'!$F$22</f>
        <v>0</v>
      </c>
      <c r="F33" s="684"/>
    </row>
    <row r="34" spans="1:13" ht="15" customHeight="1" x14ac:dyDescent="0.25">
      <c r="A34" s="592" t="s">
        <v>12</v>
      </c>
      <c r="B34" s="593"/>
      <c r="C34" s="601"/>
      <c r="D34" s="122">
        <v>2</v>
      </c>
      <c r="E34" s="684">
        <f>G23*D34*'2.1.c Insumos'!$F$23</f>
        <v>7380</v>
      </c>
      <c r="F34" s="684"/>
    </row>
    <row r="35" spans="1:13" x14ac:dyDescent="0.25">
      <c r="A35" s="592" t="s">
        <v>13</v>
      </c>
      <c r="B35" s="593"/>
      <c r="C35" s="601"/>
      <c r="D35" s="122">
        <v>2</v>
      </c>
      <c r="E35" s="684">
        <f>G24*D35*'2.1.c Insumos'!$F$23</f>
        <v>7380</v>
      </c>
      <c r="F35" s="684"/>
    </row>
    <row r="36" spans="1:13" ht="15" customHeight="1" x14ac:dyDescent="0.25">
      <c r="A36" s="592" t="s">
        <v>14</v>
      </c>
      <c r="B36" s="593"/>
      <c r="C36" s="601"/>
      <c r="D36" s="122">
        <v>2</v>
      </c>
      <c r="E36" s="684">
        <f>G25*D36*'2.1.c Insumos'!$F$24</f>
        <v>0</v>
      </c>
      <c r="F36" s="684"/>
    </row>
    <row r="37" spans="1:13" x14ac:dyDescent="0.25">
      <c r="A37" s="592" t="s">
        <v>15</v>
      </c>
      <c r="B37" s="593"/>
      <c r="C37" s="601"/>
      <c r="D37" s="122">
        <v>2</v>
      </c>
      <c r="E37" s="684">
        <f>G26*D37*'2.1.c Insumos'!$F$24</f>
        <v>0</v>
      </c>
      <c r="F37" s="684"/>
    </row>
    <row r="38" spans="1:13" x14ac:dyDescent="0.25">
      <c r="A38" s="592" t="s">
        <v>16</v>
      </c>
      <c r="B38" s="593"/>
      <c r="C38" s="601"/>
      <c r="D38" s="122">
        <v>2</v>
      </c>
      <c r="E38" s="684">
        <f>G27*D38*'2.1.c Insumos'!$F$24</f>
        <v>0</v>
      </c>
      <c r="F38" s="684"/>
    </row>
    <row r="40" spans="1:13" x14ac:dyDescent="0.25">
      <c r="A40" s="27" t="s">
        <v>681</v>
      </c>
      <c r="B40" s="27" t="s">
        <v>88</v>
      </c>
    </row>
    <row r="41" spans="1:13" ht="15" customHeight="1" thickBot="1" x14ac:dyDescent="0.3">
      <c r="A41" s="594" t="s">
        <v>7</v>
      </c>
      <c r="B41" s="595"/>
      <c r="C41" s="602"/>
      <c r="D41" s="678" t="s">
        <v>89</v>
      </c>
    </row>
    <row r="42" spans="1:13" ht="15" customHeight="1" thickBot="1" x14ac:dyDescent="0.3">
      <c r="A42" s="596"/>
      <c r="B42" s="597"/>
      <c r="C42" s="603"/>
      <c r="D42" s="679"/>
      <c r="J42" s="518" t="s">
        <v>83</v>
      </c>
      <c r="K42" s="519"/>
      <c r="L42" s="519"/>
      <c r="M42" s="520"/>
    </row>
    <row r="43" spans="1:13" ht="15" customHeight="1" x14ac:dyDescent="0.25">
      <c r="A43" s="592" t="s">
        <v>10</v>
      </c>
      <c r="B43" s="593"/>
      <c r="C43" s="601"/>
      <c r="D43" s="107">
        <f>G21*'2.1.c Insumos'!$F$19</f>
        <v>0</v>
      </c>
      <c r="J43" s="33"/>
      <c r="K43" s="64"/>
      <c r="L43" s="64"/>
      <c r="M43" s="34"/>
    </row>
    <row r="44" spans="1:13" x14ac:dyDescent="0.25">
      <c r="A44" s="592" t="s">
        <v>11</v>
      </c>
      <c r="B44" s="593"/>
      <c r="C44" s="601"/>
      <c r="D44" s="107">
        <f>G22*'2.1.c Insumos'!$F$19</f>
        <v>0</v>
      </c>
      <c r="E44" s="45"/>
      <c r="J44" s="35"/>
      <c r="K44" s="2"/>
      <c r="L44" s="44" t="s">
        <v>81</v>
      </c>
      <c r="M44" s="36"/>
    </row>
    <row r="45" spans="1:13" x14ac:dyDescent="0.25">
      <c r="A45" s="592" t="s">
        <v>12</v>
      </c>
      <c r="B45" s="593"/>
      <c r="C45" s="601"/>
      <c r="D45" s="107">
        <f>G23*'2.1.c Insumos'!$F$20</f>
        <v>14280</v>
      </c>
      <c r="E45" s="45"/>
      <c r="J45" s="35"/>
      <c r="K45" s="4"/>
      <c r="L45" s="44" t="s">
        <v>93</v>
      </c>
      <c r="M45" s="36"/>
    </row>
    <row r="46" spans="1:13" x14ac:dyDescent="0.25">
      <c r="A46" s="592" t="s">
        <v>13</v>
      </c>
      <c r="B46" s="593"/>
      <c r="C46" s="601"/>
      <c r="D46" s="107">
        <f>G24*'2.1.c Insumos'!$F$20</f>
        <v>14280</v>
      </c>
      <c r="E46" s="45"/>
      <c r="J46" s="35"/>
      <c r="K46" s="43"/>
      <c r="L46" s="44" t="s">
        <v>82</v>
      </c>
      <c r="M46" s="36"/>
    </row>
    <row r="47" spans="1:13" ht="15.75" thickBot="1" x14ac:dyDescent="0.3">
      <c r="A47" s="592" t="s">
        <v>14</v>
      </c>
      <c r="B47" s="593"/>
      <c r="C47" s="601"/>
      <c r="D47" s="107">
        <f>G25*'2.1.c Insumos'!$F$21</f>
        <v>0</v>
      </c>
      <c r="E47" s="45"/>
      <c r="J47" s="37"/>
      <c r="K47" s="38"/>
      <c r="L47" s="38"/>
      <c r="M47" s="39"/>
    </row>
    <row r="48" spans="1:13" x14ac:dyDescent="0.25">
      <c r="A48" s="592" t="s">
        <v>15</v>
      </c>
      <c r="B48" s="593"/>
      <c r="C48" s="601"/>
      <c r="D48" s="107">
        <f>G26*'2.1.c Insumos'!$F$21</f>
        <v>0</v>
      </c>
      <c r="E48" s="45"/>
    </row>
    <row r="49" spans="1:7" x14ac:dyDescent="0.25">
      <c r="A49" s="592" t="s">
        <v>16</v>
      </c>
      <c r="B49" s="593"/>
      <c r="C49" s="601"/>
      <c r="D49" s="107">
        <f>G27*'2.1.c Insumos'!$F$21</f>
        <v>0</v>
      </c>
      <c r="E49" s="45"/>
    </row>
    <row r="51" spans="1:7" x14ac:dyDescent="0.25">
      <c r="A51" s="27" t="s">
        <v>682</v>
      </c>
      <c r="B51" s="27" t="s">
        <v>90</v>
      </c>
    </row>
    <row r="52" spans="1:7" ht="15" customHeight="1" x14ac:dyDescent="0.25">
      <c r="A52" s="594" t="s">
        <v>7</v>
      </c>
      <c r="B52" s="595"/>
      <c r="C52" s="602"/>
      <c r="D52" s="680" t="s">
        <v>96</v>
      </c>
      <c r="E52" s="685" t="s">
        <v>91</v>
      </c>
      <c r="F52" s="685"/>
    </row>
    <row r="53" spans="1:7" ht="15" customHeight="1" x14ac:dyDescent="0.25">
      <c r="A53" s="596"/>
      <c r="B53" s="597"/>
      <c r="C53" s="603"/>
      <c r="D53" s="681"/>
      <c r="E53" s="685"/>
      <c r="F53" s="685"/>
    </row>
    <row r="54" spans="1:7" ht="15" customHeight="1" x14ac:dyDescent="0.25">
      <c r="A54" s="592" t="s">
        <v>10</v>
      </c>
      <c r="B54" s="593"/>
      <c r="C54" s="601"/>
      <c r="D54" s="108">
        <f>E10</f>
        <v>125000</v>
      </c>
      <c r="E54" s="682">
        <f>(E32+D43)*(SUM('1.3 Frota Total'!C19:F19))/D54</f>
        <v>0</v>
      </c>
      <c r="F54" s="683"/>
    </row>
    <row r="55" spans="1:7" x14ac:dyDescent="0.25">
      <c r="A55" s="592" t="s">
        <v>11</v>
      </c>
      <c r="B55" s="593"/>
      <c r="C55" s="601"/>
      <c r="D55" s="108">
        <f t="shared" ref="D55:D60" si="0">E11</f>
        <v>125000</v>
      </c>
      <c r="E55" s="682">
        <f>(E33+D44)*(SUM('1.3 Frota Total'!C20:F20))/D55</f>
        <v>0</v>
      </c>
      <c r="F55" s="683"/>
      <c r="G55" s="45"/>
    </row>
    <row r="56" spans="1:7" x14ac:dyDescent="0.25">
      <c r="A56" s="592" t="s">
        <v>12</v>
      </c>
      <c r="B56" s="593"/>
      <c r="C56" s="601"/>
      <c r="D56" s="108">
        <f t="shared" si="0"/>
        <v>125000</v>
      </c>
      <c r="E56" s="682">
        <f>(E34+D45)*(SUM('1.3 Frota Total'!C21:F21))/D56</f>
        <v>0</v>
      </c>
      <c r="F56" s="683"/>
      <c r="G56" s="45"/>
    </row>
    <row r="57" spans="1:7" x14ac:dyDescent="0.25">
      <c r="A57" s="592" t="s">
        <v>13</v>
      </c>
      <c r="B57" s="593"/>
      <c r="C57" s="601"/>
      <c r="D57" s="108">
        <f t="shared" si="0"/>
        <v>105000</v>
      </c>
      <c r="E57" s="682">
        <f>(E35+D46)*(SUM('1.3 Frota Total'!C22:F22))/D57</f>
        <v>2.8879999999999999</v>
      </c>
      <c r="F57" s="683"/>
      <c r="G57" s="45"/>
    </row>
    <row r="58" spans="1:7" x14ac:dyDescent="0.25">
      <c r="A58" s="592" t="s">
        <v>14</v>
      </c>
      <c r="B58" s="593"/>
      <c r="C58" s="601"/>
      <c r="D58" s="108">
        <f t="shared" si="0"/>
        <v>105000</v>
      </c>
      <c r="E58" s="682">
        <f>(E36+D47)*(SUM('1.3 Frota Total'!C23:F23))/D58</f>
        <v>0</v>
      </c>
      <c r="F58" s="683"/>
      <c r="G58" s="45"/>
    </row>
    <row r="59" spans="1:7" x14ac:dyDescent="0.25">
      <c r="A59" s="592" t="s">
        <v>15</v>
      </c>
      <c r="B59" s="593"/>
      <c r="C59" s="601"/>
      <c r="D59" s="108">
        <f t="shared" si="0"/>
        <v>105000</v>
      </c>
      <c r="E59" s="682">
        <f>(E37+D48)*(SUM('1.3 Frota Total'!C24:F24))/D59</f>
        <v>0</v>
      </c>
      <c r="F59" s="683"/>
      <c r="G59" s="45"/>
    </row>
    <row r="60" spans="1:7" x14ac:dyDescent="0.25">
      <c r="A60" s="592" t="s">
        <v>16</v>
      </c>
      <c r="B60" s="593"/>
      <c r="C60" s="601"/>
      <c r="D60" s="108">
        <f t="shared" si="0"/>
        <v>125000</v>
      </c>
      <c r="E60" s="682">
        <f>(E38+D49)*(SUM('1.3 Frota Total'!C25:F25))/D60</f>
        <v>0</v>
      </c>
      <c r="F60" s="683"/>
      <c r="G60" s="45"/>
    </row>
  </sheetData>
  <mergeCells count="78">
    <mergeCell ref="A19:C20"/>
    <mergeCell ref="A21:C21"/>
    <mergeCell ref="J4:M4"/>
    <mergeCell ref="A8:C9"/>
    <mergeCell ref="D8:D9"/>
    <mergeCell ref="H21:H27"/>
    <mergeCell ref="A22:C22"/>
    <mergeCell ref="A23:C23"/>
    <mergeCell ref="A24:C24"/>
    <mergeCell ref="A25:C25"/>
    <mergeCell ref="A27:C27"/>
    <mergeCell ref="E13:F13"/>
    <mergeCell ref="A14:C14"/>
    <mergeCell ref="A15:C15"/>
    <mergeCell ref="E15:F15"/>
    <mergeCell ref="E16:F16"/>
    <mergeCell ref="D30:D31"/>
    <mergeCell ref="E30:F31"/>
    <mergeCell ref="E32:F32"/>
    <mergeCell ref="D19:D20"/>
    <mergeCell ref="G19:G20"/>
    <mergeCell ref="E19:F20"/>
    <mergeCell ref="E21:F27"/>
    <mergeCell ref="E33:F33"/>
    <mergeCell ref="E55:F55"/>
    <mergeCell ref="A56:C56"/>
    <mergeCell ref="A49:C49"/>
    <mergeCell ref="A47:C47"/>
    <mergeCell ref="A48:C48"/>
    <mergeCell ref="A35:C35"/>
    <mergeCell ref="E36:F36"/>
    <mergeCell ref="E37:F37"/>
    <mergeCell ref="E38:F38"/>
    <mergeCell ref="A44:C44"/>
    <mergeCell ref="E34:F34"/>
    <mergeCell ref="E35:F35"/>
    <mergeCell ref="E52:F53"/>
    <mergeCell ref="E54:F54"/>
    <mergeCell ref="A52:C53"/>
    <mergeCell ref="D52:D53"/>
    <mergeCell ref="A55:C55"/>
    <mergeCell ref="A60:C60"/>
    <mergeCell ref="E60:F60"/>
    <mergeCell ref="E56:F56"/>
    <mergeCell ref="A57:C57"/>
    <mergeCell ref="E57:F57"/>
    <mergeCell ref="E58:F58"/>
    <mergeCell ref="A59:C59"/>
    <mergeCell ref="A58:C58"/>
    <mergeCell ref="E59:F59"/>
    <mergeCell ref="A30:C31"/>
    <mergeCell ref="A32:C32"/>
    <mergeCell ref="A54:C54"/>
    <mergeCell ref="A43:C43"/>
    <mergeCell ref="A36:C36"/>
    <mergeCell ref="A37:C37"/>
    <mergeCell ref="A38:C38"/>
    <mergeCell ref="A33:C33"/>
    <mergeCell ref="A34:C34"/>
    <mergeCell ref="A41:C42"/>
    <mergeCell ref="A45:C45"/>
    <mergeCell ref="A46:C46"/>
    <mergeCell ref="J42:M42"/>
    <mergeCell ref="A16:C16"/>
    <mergeCell ref="A4:C4"/>
    <mergeCell ref="A5:C5"/>
    <mergeCell ref="G10:G16"/>
    <mergeCell ref="E8:F9"/>
    <mergeCell ref="E10:F10"/>
    <mergeCell ref="E11:F11"/>
    <mergeCell ref="E12:F12"/>
    <mergeCell ref="A13:C13"/>
    <mergeCell ref="D41:D42"/>
    <mergeCell ref="A10:C10"/>
    <mergeCell ref="A11:C11"/>
    <mergeCell ref="A12:C12"/>
    <mergeCell ref="A26:C26"/>
    <mergeCell ref="E14:F14"/>
  </mergeCells>
  <hyperlinks>
    <hyperlink ref="A1" location="'2.1.c Insumos'!A1" display="ANEXO VI – VIDA ÚTIL E RECAPAGEM DE PNEUS" xr:uid="{00000000-0004-0000-1C00-000000000000}"/>
  </hyperlinks>
  <pageMargins left="0.78740157499999996" right="0.78740157499999996" top="0.984251969" bottom="0.984251969" header="0.49212598499999999" footer="0.49212598499999999"/>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tabColor theme="9" tint="0.59999389629810485"/>
    <pageSetUpPr fitToPage="1"/>
  </sheetPr>
  <dimension ref="A1:Q114"/>
  <sheetViews>
    <sheetView topLeftCell="A10" zoomScaleNormal="100" workbookViewId="0">
      <selection activeCell="F17" sqref="F17"/>
    </sheetView>
  </sheetViews>
  <sheetFormatPr defaultColWidth="0" defaultRowHeight="12.75" x14ac:dyDescent="0.2"/>
  <cols>
    <col min="1" max="1" width="5.85546875" style="8" bestFit="1" customWidth="1"/>
    <col min="2" max="2" width="28.28515625" style="8" customWidth="1"/>
    <col min="3" max="3" width="13.28515625" style="8" customWidth="1"/>
    <col min="4" max="4" width="9.42578125" style="8" bestFit="1" customWidth="1"/>
    <col min="5" max="11" width="13.28515625" style="8" customWidth="1"/>
    <col min="12" max="12" width="13.28515625" style="5" customWidth="1"/>
    <col min="13" max="13" width="13.28515625" style="8" customWidth="1"/>
    <col min="14" max="16" width="16.28515625" style="5" customWidth="1"/>
    <col min="17" max="17" width="9.140625" style="5" customWidth="1"/>
    <col min="18" max="16384" width="0" style="5" hidden="1"/>
  </cols>
  <sheetData>
    <row r="1" spans="1:17" ht="15.75" thickBot="1" x14ac:dyDescent="0.3">
      <c r="A1" s="517" t="s">
        <v>474</v>
      </c>
      <c r="B1" s="517"/>
      <c r="C1" s="517"/>
      <c r="D1" s="517"/>
      <c r="E1" s="517"/>
      <c r="F1" s="517"/>
      <c r="G1" s="517"/>
      <c r="H1" s="517"/>
      <c r="I1" s="517"/>
      <c r="J1" s="517"/>
      <c r="K1" s="517"/>
      <c r="L1" s="517"/>
    </row>
    <row r="2" spans="1:17" ht="15.75" thickBot="1" x14ac:dyDescent="0.25">
      <c r="A2" s="9"/>
      <c r="B2" s="9"/>
      <c r="C2" s="9"/>
      <c r="D2" s="9"/>
      <c r="E2" s="9"/>
      <c r="F2" s="9"/>
      <c r="G2" s="9"/>
      <c r="H2" s="9"/>
      <c r="I2" s="9"/>
      <c r="J2" s="9"/>
      <c r="K2" s="518" t="s">
        <v>83</v>
      </c>
      <c r="L2" s="519"/>
      <c r="M2" s="519"/>
    </row>
    <row r="3" spans="1:17" s="13" customFormat="1" ht="15" x14ac:dyDescent="0.25">
      <c r="A3" s="10" t="s">
        <v>475</v>
      </c>
      <c r="B3" s="553" t="s">
        <v>25</v>
      </c>
      <c r="C3" s="554"/>
      <c r="D3" s="65">
        <v>1</v>
      </c>
      <c r="E3" s="11"/>
      <c r="F3" s="12"/>
      <c r="G3" s="12"/>
      <c r="H3" s="12"/>
      <c r="I3" s="12"/>
      <c r="J3" s="12"/>
      <c r="K3" s="33"/>
      <c r="L3" s="64"/>
      <c r="M3" s="64"/>
    </row>
    <row r="4" spans="1:17" ht="15" x14ac:dyDescent="0.25">
      <c r="A4" s="9"/>
      <c r="B4" s="9"/>
      <c r="C4" s="9"/>
      <c r="D4" s="9"/>
      <c r="E4" s="9"/>
      <c r="F4" s="9"/>
      <c r="G4" s="9"/>
      <c r="H4" s="9"/>
      <c r="I4" s="9"/>
      <c r="J4" s="9"/>
      <c r="K4" s="35"/>
      <c r="L4" s="2"/>
      <c r="M4" s="44" t="s">
        <v>81</v>
      </c>
    </row>
    <row r="5" spans="1:17" ht="15" x14ac:dyDescent="0.25">
      <c r="A5" s="10" t="s">
        <v>476</v>
      </c>
      <c r="B5" s="9" t="s">
        <v>205</v>
      </c>
      <c r="C5" s="9"/>
      <c r="D5" s="9"/>
      <c r="E5" s="9"/>
      <c r="F5" s="9"/>
      <c r="G5" s="9"/>
      <c r="H5" s="9"/>
      <c r="I5" s="9"/>
      <c r="J5" s="9"/>
      <c r="K5" s="35"/>
      <c r="L5" s="4"/>
      <c r="M5" s="44" t="s">
        <v>93</v>
      </c>
    </row>
    <row r="6" spans="1:17" s="13" customFormat="1" ht="15" x14ac:dyDescent="0.25">
      <c r="A6" s="10"/>
      <c r="B6" s="549" t="s">
        <v>204</v>
      </c>
      <c r="C6" s="549"/>
      <c r="D6" s="65" t="s">
        <v>935</v>
      </c>
      <c r="E6" s="9" t="s">
        <v>479</v>
      </c>
      <c r="F6" s="12"/>
      <c r="G6" s="12"/>
      <c r="H6" s="12"/>
      <c r="I6" s="12"/>
      <c r="J6" s="12"/>
      <c r="K6" s="35"/>
      <c r="L6" s="43"/>
      <c r="M6" s="44" t="s">
        <v>82</v>
      </c>
    </row>
    <row r="7" spans="1:17" s="13" customFormat="1" ht="15.75" thickBot="1" x14ac:dyDescent="0.3">
      <c r="A7" s="10"/>
      <c r="B7" s="550" t="s">
        <v>203</v>
      </c>
      <c r="C7" s="550"/>
      <c r="D7" s="65"/>
      <c r="E7" s="9" t="s">
        <v>480</v>
      </c>
      <c r="F7" s="12"/>
      <c r="G7" s="12"/>
      <c r="H7" s="12"/>
      <c r="I7" s="12"/>
      <c r="J7" s="12"/>
      <c r="K7" s="37"/>
      <c r="L7" s="38"/>
      <c r="M7" s="38"/>
    </row>
    <row r="8" spans="1:17" x14ac:dyDescent="0.2">
      <c r="A8" s="9"/>
      <c r="B8" s="9"/>
      <c r="C8" s="9"/>
      <c r="D8" s="9"/>
      <c r="E8" s="9"/>
      <c r="F8" s="9"/>
      <c r="G8" s="9"/>
      <c r="H8" s="9"/>
      <c r="I8" s="9"/>
      <c r="J8" s="9"/>
      <c r="K8" s="9"/>
      <c r="L8" s="9"/>
    </row>
    <row r="9" spans="1:17" x14ac:dyDescent="0.2">
      <c r="A9" s="10" t="s">
        <v>477</v>
      </c>
      <c r="B9" s="9" t="s">
        <v>206</v>
      </c>
      <c r="C9" s="9"/>
      <c r="D9" s="9"/>
      <c r="E9" s="9"/>
      <c r="F9" s="9"/>
      <c r="G9" s="9"/>
      <c r="H9" s="9"/>
      <c r="I9" s="9"/>
      <c r="J9" s="9"/>
      <c r="K9" s="9"/>
      <c r="L9" s="9"/>
    </row>
    <row r="10" spans="1:17" x14ac:dyDescent="0.2">
      <c r="A10" s="9"/>
      <c r="B10" s="551" t="s">
        <v>481</v>
      </c>
      <c r="C10" s="551"/>
      <c r="D10" s="506">
        <v>49917.35</v>
      </c>
      <c r="E10" s="500"/>
      <c r="F10" s="9" t="s">
        <v>23</v>
      </c>
      <c r="G10" s="236"/>
      <c r="H10" s="9"/>
      <c r="I10" s="9"/>
      <c r="J10" s="9"/>
      <c r="K10" s="9"/>
      <c r="L10" s="9"/>
    </row>
    <row r="11" spans="1:17" x14ac:dyDescent="0.2">
      <c r="A11" s="9"/>
      <c r="B11" s="9"/>
      <c r="C11" s="9"/>
      <c r="D11" s="9"/>
      <c r="E11" s="9"/>
      <c r="F11" s="9"/>
      <c r="G11" s="9"/>
      <c r="H11" s="9"/>
      <c r="I11" s="9"/>
      <c r="J11" s="9"/>
      <c r="K11" s="9"/>
      <c r="L11" s="9"/>
    </row>
    <row r="12" spans="1:17" x14ac:dyDescent="0.2">
      <c r="A12" s="10" t="s">
        <v>478</v>
      </c>
      <c r="B12" s="9" t="s">
        <v>482</v>
      </c>
      <c r="C12" s="9"/>
      <c r="D12" s="9"/>
      <c r="E12" s="9"/>
      <c r="F12" s="9"/>
      <c r="G12" s="9"/>
      <c r="H12" s="9"/>
      <c r="I12" s="9"/>
      <c r="J12" s="9"/>
      <c r="K12" s="9"/>
      <c r="L12" s="9"/>
    </row>
    <row r="13" spans="1:17" s="13" customFormat="1" ht="32.25" customHeight="1" x14ac:dyDescent="0.2">
      <c r="A13" s="552" t="s">
        <v>2</v>
      </c>
      <c r="B13" s="552" t="s">
        <v>1</v>
      </c>
      <c r="C13" s="552" t="s">
        <v>483</v>
      </c>
      <c r="D13" s="552"/>
      <c r="E13" s="552"/>
      <c r="F13" s="552"/>
      <c r="G13" s="552" t="s">
        <v>162</v>
      </c>
      <c r="H13" s="552"/>
      <c r="I13" s="552"/>
      <c r="J13" s="552" t="s">
        <v>163</v>
      </c>
      <c r="K13" s="552"/>
      <c r="L13" s="552"/>
      <c r="M13" s="8"/>
      <c r="N13" s="539" t="s">
        <v>24</v>
      </c>
      <c r="O13" s="540"/>
      <c r="P13" s="540"/>
      <c r="Q13" s="540"/>
    </row>
    <row r="14" spans="1:17" s="13" customFormat="1" x14ac:dyDescent="0.2">
      <c r="A14" s="552"/>
      <c r="B14" s="552"/>
      <c r="C14" s="546" t="s">
        <v>164</v>
      </c>
      <c r="D14" s="547"/>
      <c r="E14" s="547"/>
      <c r="F14" s="548"/>
      <c r="G14" s="546" t="s">
        <v>165</v>
      </c>
      <c r="H14" s="547"/>
      <c r="I14" s="548"/>
      <c r="J14" s="546" t="s">
        <v>166</v>
      </c>
      <c r="K14" s="547"/>
      <c r="L14" s="548"/>
      <c r="M14" s="8"/>
      <c r="N14" s="537" t="s">
        <v>166</v>
      </c>
      <c r="O14" s="538"/>
      <c r="P14" s="538"/>
      <c r="Q14" s="538"/>
    </row>
    <row r="15" spans="1:17" s="13" customFormat="1" ht="25.5" x14ac:dyDescent="0.2">
      <c r="A15" s="552"/>
      <c r="B15" s="552"/>
      <c r="C15" s="546" t="s">
        <v>3</v>
      </c>
      <c r="D15" s="548"/>
      <c r="E15" s="14" t="s">
        <v>4</v>
      </c>
      <c r="F15" s="14" t="s">
        <v>26</v>
      </c>
      <c r="G15" s="15" t="s">
        <v>3</v>
      </c>
      <c r="H15" s="14" t="s">
        <v>4</v>
      </c>
      <c r="I15" s="14" t="s">
        <v>26</v>
      </c>
      <c r="J15" s="14" t="s">
        <v>3</v>
      </c>
      <c r="K15" s="14" t="s">
        <v>4</v>
      </c>
      <c r="L15" s="14" t="s">
        <v>26</v>
      </c>
      <c r="M15" s="8"/>
      <c r="N15" s="68" t="s">
        <v>3</v>
      </c>
      <c r="O15" s="68" t="s">
        <v>4</v>
      </c>
      <c r="P15" s="68" t="s">
        <v>26</v>
      </c>
      <c r="Q15" s="68" t="s">
        <v>922</v>
      </c>
    </row>
    <row r="16" spans="1:17" x14ac:dyDescent="0.2">
      <c r="A16" s="16">
        <v>1</v>
      </c>
      <c r="B16" s="496" t="s">
        <v>926</v>
      </c>
      <c r="C16" s="535">
        <v>20</v>
      </c>
      <c r="D16" s="536"/>
      <c r="E16" s="498">
        <v>4</v>
      </c>
      <c r="F16" s="498">
        <v>5</v>
      </c>
      <c r="G16" s="497">
        <v>12</v>
      </c>
      <c r="H16" s="498">
        <v>12</v>
      </c>
      <c r="I16" s="498">
        <v>6</v>
      </c>
      <c r="J16" s="498">
        <v>12</v>
      </c>
      <c r="K16" s="498">
        <v>12</v>
      </c>
      <c r="L16" s="498">
        <v>12</v>
      </c>
      <c r="N16" s="69">
        <f>((C16*G16*J16)/$D$3)+M16</f>
        <v>2880</v>
      </c>
      <c r="O16" s="69">
        <f>((E16*H16*K16)/$D$3)</f>
        <v>576</v>
      </c>
      <c r="P16" s="69">
        <f>((F16*I16*L16)/$D$3)</f>
        <v>360</v>
      </c>
      <c r="Q16" s="69">
        <f>SUM(N16:P16)</f>
        <v>3816</v>
      </c>
    </row>
    <row r="17" spans="1:17" x14ac:dyDescent="0.2">
      <c r="A17" s="16">
        <v>2</v>
      </c>
      <c r="B17" s="499" t="s">
        <v>927</v>
      </c>
      <c r="C17" s="535">
        <f>C16</f>
        <v>20</v>
      </c>
      <c r="D17" s="536"/>
      <c r="E17" s="498">
        <f>E16</f>
        <v>4</v>
      </c>
      <c r="F17" s="498">
        <f>F16</f>
        <v>5</v>
      </c>
      <c r="G17" s="497">
        <v>11</v>
      </c>
      <c r="H17" s="498">
        <v>11</v>
      </c>
      <c r="I17" s="498">
        <v>3</v>
      </c>
      <c r="J17" s="498">
        <v>12</v>
      </c>
      <c r="K17" s="498">
        <v>12</v>
      </c>
      <c r="L17" s="498">
        <v>12</v>
      </c>
      <c r="N17" s="69">
        <f t="shared" ref="N17:N24" si="0">((C17*G17*J17)/$D$3)+M17</f>
        <v>2640</v>
      </c>
      <c r="O17" s="69">
        <f t="shared" ref="O17:O25" si="1">((E17*H17*K17)/$D$3)</f>
        <v>528</v>
      </c>
      <c r="P17" s="69">
        <f t="shared" ref="P17:P25" si="2">((F17*I17*L17)/$D$3)</f>
        <v>180</v>
      </c>
      <c r="Q17" s="69">
        <f t="shared" ref="Q17:Q29" si="3">SUM(N17:P17)</f>
        <v>3348</v>
      </c>
    </row>
    <row r="18" spans="1:17" x14ac:dyDescent="0.2">
      <c r="A18" s="16">
        <v>3</v>
      </c>
      <c r="B18" s="499" t="s">
        <v>914</v>
      </c>
      <c r="C18" s="535">
        <f>C16</f>
        <v>20</v>
      </c>
      <c r="D18" s="536"/>
      <c r="E18" s="498">
        <f t="shared" ref="E18:E81" si="4">E17</f>
        <v>4</v>
      </c>
      <c r="F18" s="498">
        <f t="shared" ref="F18:F81" si="5">F17</f>
        <v>5</v>
      </c>
      <c r="G18" s="497">
        <v>26</v>
      </c>
      <c r="H18" s="498">
        <v>26</v>
      </c>
      <c r="I18" s="498">
        <v>13</v>
      </c>
      <c r="J18" s="498">
        <v>10.5</v>
      </c>
      <c r="K18" s="498">
        <v>10.5</v>
      </c>
      <c r="L18" s="498">
        <v>10.5</v>
      </c>
      <c r="N18" s="69">
        <f t="shared" si="0"/>
        <v>5460</v>
      </c>
      <c r="O18" s="69">
        <f t="shared" si="1"/>
        <v>1092</v>
      </c>
      <c r="P18" s="69">
        <f t="shared" si="2"/>
        <v>682.5</v>
      </c>
      <c r="Q18" s="69">
        <f t="shared" si="3"/>
        <v>7234.5</v>
      </c>
    </row>
    <row r="19" spans="1:17" x14ac:dyDescent="0.2">
      <c r="A19" s="16">
        <v>4</v>
      </c>
      <c r="B19" s="499" t="s">
        <v>928</v>
      </c>
      <c r="C19" s="535">
        <f>C17</f>
        <v>20</v>
      </c>
      <c r="D19" s="536"/>
      <c r="E19" s="498">
        <f t="shared" si="4"/>
        <v>4</v>
      </c>
      <c r="F19" s="498">
        <f t="shared" si="5"/>
        <v>5</v>
      </c>
      <c r="G19" s="497">
        <v>22</v>
      </c>
      <c r="H19" s="498">
        <v>22</v>
      </c>
      <c r="I19" s="498">
        <v>0</v>
      </c>
      <c r="J19" s="498">
        <v>10</v>
      </c>
      <c r="K19" s="498">
        <v>10</v>
      </c>
      <c r="L19" s="498">
        <v>10</v>
      </c>
      <c r="N19" s="69">
        <f t="shared" si="0"/>
        <v>4400</v>
      </c>
      <c r="O19" s="69">
        <f t="shared" si="1"/>
        <v>880</v>
      </c>
      <c r="P19" s="69">
        <f t="shared" si="2"/>
        <v>0</v>
      </c>
      <c r="Q19" s="69">
        <f t="shared" si="3"/>
        <v>5280</v>
      </c>
    </row>
    <row r="20" spans="1:17" x14ac:dyDescent="0.2">
      <c r="A20" s="16">
        <v>5</v>
      </c>
      <c r="B20" s="499" t="s">
        <v>909</v>
      </c>
      <c r="C20" s="535">
        <f>C19</f>
        <v>20</v>
      </c>
      <c r="D20" s="536"/>
      <c r="E20" s="498">
        <f t="shared" si="4"/>
        <v>4</v>
      </c>
      <c r="F20" s="498">
        <f t="shared" si="5"/>
        <v>5</v>
      </c>
      <c r="G20" s="497">
        <v>13</v>
      </c>
      <c r="H20" s="498">
        <v>13</v>
      </c>
      <c r="I20" s="498">
        <v>6</v>
      </c>
      <c r="J20" s="498">
        <v>9.5</v>
      </c>
      <c r="K20" s="498">
        <v>9.5</v>
      </c>
      <c r="L20" s="498">
        <v>9.5</v>
      </c>
      <c r="N20" s="69">
        <f t="shared" si="0"/>
        <v>2470</v>
      </c>
      <c r="O20" s="69">
        <f t="shared" si="1"/>
        <v>494</v>
      </c>
      <c r="P20" s="69">
        <f t="shared" si="2"/>
        <v>285</v>
      </c>
      <c r="Q20" s="69">
        <f t="shared" si="3"/>
        <v>3249</v>
      </c>
    </row>
    <row r="21" spans="1:17" x14ac:dyDescent="0.2">
      <c r="A21" s="16">
        <v>6</v>
      </c>
      <c r="B21" s="499" t="s">
        <v>910</v>
      </c>
      <c r="C21" s="535">
        <f t="shared" ref="C21:C84" si="6">C19</f>
        <v>20</v>
      </c>
      <c r="D21" s="536"/>
      <c r="E21" s="498">
        <f t="shared" si="4"/>
        <v>4</v>
      </c>
      <c r="F21" s="498">
        <f t="shared" si="5"/>
        <v>5</v>
      </c>
      <c r="G21" s="497">
        <v>8</v>
      </c>
      <c r="H21" s="498">
        <v>8</v>
      </c>
      <c r="I21" s="498">
        <v>0</v>
      </c>
      <c r="J21" s="498">
        <v>7</v>
      </c>
      <c r="K21" s="498">
        <v>7</v>
      </c>
      <c r="L21" s="498">
        <v>7</v>
      </c>
      <c r="N21" s="69">
        <f t="shared" si="0"/>
        <v>1120</v>
      </c>
      <c r="O21" s="69">
        <f t="shared" si="1"/>
        <v>224</v>
      </c>
      <c r="P21" s="69">
        <f t="shared" si="2"/>
        <v>0</v>
      </c>
      <c r="Q21" s="69">
        <f t="shared" si="3"/>
        <v>1344</v>
      </c>
    </row>
    <row r="22" spans="1:17" x14ac:dyDescent="0.2">
      <c r="A22" s="16">
        <v>7</v>
      </c>
      <c r="B22" s="499" t="s">
        <v>929</v>
      </c>
      <c r="C22" s="535">
        <f t="shared" si="6"/>
        <v>20</v>
      </c>
      <c r="D22" s="536"/>
      <c r="E22" s="498">
        <f t="shared" si="4"/>
        <v>4</v>
      </c>
      <c r="F22" s="498">
        <f t="shared" si="5"/>
        <v>5</v>
      </c>
      <c r="G22" s="497">
        <v>15</v>
      </c>
      <c r="H22" s="498">
        <v>15</v>
      </c>
      <c r="I22" s="498">
        <v>6</v>
      </c>
      <c r="J22" s="498">
        <v>15</v>
      </c>
      <c r="K22" s="498">
        <v>15</v>
      </c>
      <c r="L22" s="498">
        <v>15</v>
      </c>
      <c r="N22" s="69">
        <f t="shared" si="0"/>
        <v>4500</v>
      </c>
      <c r="O22" s="69">
        <f t="shared" si="1"/>
        <v>900</v>
      </c>
      <c r="P22" s="69">
        <f t="shared" si="2"/>
        <v>450</v>
      </c>
      <c r="Q22" s="69">
        <f t="shared" si="3"/>
        <v>5850</v>
      </c>
    </row>
    <row r="23" spans="1:17" x14ac:dyDescent="0.2">
      <c r="A23" s="16">
        <v>8</v>
      </c>
      <c r="B23" s="499" t="s">
        <v>911</v>
      </c>
      <c r="C23" s="535">
        <f t="shared" si="6"/>
        <v>20</v>
      </c>
      <c r="D23" s="536"/>
      <c r="E23" s="498">
        <f t="shared" si="4"/>
        <v>4</v>
      </c>
      <c r="F23" s="498">
        <f t="shared" si="5"/>
        <v>5</v>
      </c>
      <c r="G23" s="497">
        <v>22</v>
      </c>
      <c r="H23" s="498">
        <v>22</v>
      </c>
      <c r="I23" s="498">
        <v>6</v>
      </c>
      <c r="J23" s="498">
        <v>11</v>
      </c>
      <c r="K23" s="498">
        <v>11</v>
      </c>
      <c r="L23" s="498">
        <v>11</v>
      </c>
      <c r="N23" s="69">
        <f t="shared" si="0"/>
        <v>4840</v>
      </c>
      <c r="O23" s="69">
        <f t="shared" si="1"/>
        <v>968</v>
      </c>
      <c r="P23" s="69">
        <f t="shared" si="2"/>
        <v>330</v>
      </c>
      <c r="Q23" s="69">
        <f t="shared" si="3"/>
        <v>6138</v>
      </c>
    </row>
    <row r="24" spans="1:17" x14ac:dyDescent="0.2">
      <c r="A24" s="16">
        <v>9</v>
      </c>
      <c r="B24" s="499" t="s">
        <v>912</v>
      </c>
      <c r="C24" s="535">
        <f t="shared" si="6"/>
        <v>20</v>
      </c>
      <c r="D24" s="536"/>
      <c r="E24" s="498">
        <f t="shared" si="4"/>
        <v>4</v>
      </c>
      <c r="F24" s="498">
        <f t="shared" si="5"/>
        <v>5</v>
      </c>
      <c r="G24" s="497">
        <v>19</v>
      </c>
      <c r="H24" s="498">
        <v>19</v>
      </c>
      <c r="I24" s="498">
        <v>6</v>
      </c>
      <c r="J24" s="498">
        <v>9.1</v>
      </c>
      <c r="K24" s="498">
        <v>9.1</v>
      </c>
      <c r="L24" s="498">
        <v>9.1</v>
      </c>
      <c r="N24" s="69">
        <f t="shared" si="0"/>
        <v>3458</v>
      </c>
      <c r="O24" s="69">
        <f t="shared" si="1"/>
        <v>691.6</v>
      </c>
      <c r="P24" s="69">
        <f t="shared" si="2"/>
        <v>273</v>
      </c>
      <c r="Q24" s="69">
        <f t="shared" si="3"/>
        <v>4422.6000000000004</v>
      </c>
    </row>
    <row r="25" spans="1:17" x14ac:dyDescent="0.2">
      <c r="A25" s="16">
        <v>10</v>
      </c>
      <c r="B25" s="499" t="s">
        <v>913</v>
      </c>
      <c r="C25" s="535">
        <f t="shared" si="6"/>
        <v>20</v>
      </c>
      <c r="D25" s="536"/>
      <c r="E25" s="498">
        <f t="shared" si="4"/>
        <v>4</v>
      </c>
      <c r="F25" s="498">
        <f t="shared" si="5"/>
        <v>5</v>
      </c>
      <c r="G25" s="497">
        <v>9</v>
      </c>
      <c r="H25" s="498">
        <v>9</v>
      </c>
      <c r="I25" s="498">
        <v>3</v>
      </c>
      <c r="J25" s="498">
        <v>30</v>
      </c>
      <c r="K25" s="498">
        <v>30</v>
      </c>
      <c r="L25" s="498">
        <v>30</v>
      </c>
      <c r="N25" s="69">
        <f>((C25*G25*J25)/$D$3)+M25</f>
        <v>5400</v>
      </c>
      <c r="O25" s="69">
        <f t="shared" si="1"/>
        <v>1080</v>
      </c>
      <c r="P25" s="69">
        <f t="shared" si="2"/>
        <v>450</v>
      </c>
      <c r="Q25" s="69">
        <f t="shared" si="3"/>
        <v>6930</v>
      </c>
    </row>
    <row r="26" spans="1:17" x14ac:dyDescent="0.2">
      <c r="A26" s="16">
        <v>11</v>
      </c>
      <c r="B26" s="499" t="s">
        <v>944</v>
      </c>
      <c r="C26" s="535">
        <f t="shared" si="6"/>
        <v>20</v>
      </c>
      <c r="D26" s="536"/>
      <c r="E26" s="498">
        <f t="shared" si="4"/>
        <v>4</v>
      </c>
      <c r="F26" s="498">
        <f t="shared" si="5"/>
        <v>5</v>
      </c>
      <c r="G26" s="513">
        <v>1</v>
      </c>
      <c r="H26" s="514">
        <v>0</v>
      </c>
      <c r="I26" s="16">
        <v>0</v>
      </c>
      <c r="J26" s="16">
        <v>14</v>
      </c>
      <c r="K26" s="16">
        <v>14</v>
      </c>
      <c r="L26" s="16">
        <v>14</v>
      </c>
      <c r="N26" s="69">
        <f>((C26*G26*J26)/$D$3)+M26</f>
        <v>280</v>
      </c>
      <c r="O26" s="69">
        <f>((E26*H26*K26)/$D$3)</f>
        <v>0</v>
      </c>
      <c r="P26" s="69">
        <f>((F26*I26*L26)/$D$3)</f>
        <v>0</v>
      </c>
      <c r="Q26" s="69">
        <f t="shared" si="3"/>
        <v>280</v>
      </c>
    </row>
    <row r="27" spans="1:17" ht="12.75" customHeight="1" x14ac:dyDescent="0.2">
      <c r="A27" s="16">
        <v>12</v>
      </c>
      <c r="B27" s="499" t="s">
        <v>937</v>
      </c>
      <c r="C27" s="535">
        <f t="shared" si="6"/>
        <v>20</v>
      </c>
      <c r="D27" s="536"/>
      <c r="E27" s="498">
        <f t="shared" si="4"/>
        <v>4</v>
      </c>
      <c r="F27" s="498">
        <f t="shared" si="5"/>
        <v>5</v>
      </c>
      <c r="G27" s="513">
        <v>1</v>
      </c>
      <c r="H27" s="514">
        <v>1</v>
      </c>
      <c r="I27" s="16">
        <v>0</v>
      </c>
      <c r="J27" s="16">
        <v>14.5</v>
      </c>
      <c r="K27" s="16">
        <v>14.5</v>
      </c>
      <c r="L27" s="16">
        <v>14.5</v>
      </c>
      <c r="N27" s="69">
        <f>((C27*G27*J27)/$D$3)+M27</f>
        <v>290</v>
      </c>
      <c r="O27" s="69">
        <f>((E27*H27*K27)/$D$3)</f>
        <v>58</v>
      </c>
      <c r="P27" s="69">
        <f>((F27*I27*L27)/$D$3)</f>
        <v>0</v>
      </c>
      <c r="Q27" s="69">
        <f t="shared" si="3"/>
        <v>348</v>
      </c>
    </row>
    <row r="28" spans="1:17" ht="12.75" customHeight="1" x14ac:dyDescent="0.2">
      <c r="A28" s="16">
        <v>13</v>
      </c>
      <c r="B28" s="499" t="s">
        <v>938</v>
      </c>
      <c r="C28" s="535">
        <f t="shared" si="6"/>
        <v>20</v>
      </c>
      <c r="D28" s="536"/>
      <c r="E28" s="498">
        <f>E27</f>
        <v>4</v>
      </c>
      <c r="F28" s="498">
        <f>F27</f>
        <v>5</v>
      </c>
      <c r="G28" s="513">
        <v>2</v>
      </c>
      <c r="H28" s="514">
        <v>1</v>
      </c>
      <c r="I28" s="16">
        <v>0</v>
      </c>
      <c r="J28" s="16">
        <v>9.6</v>
      </c>
      <c r="K28" s="16">
        <v>9.6</v>
      </c>
      <c r="L28" s="16">
        <v>9.6</v>
      </c>
      <c r="N28" s="69">
        <f t="shared" ref="N28:N90" si="7">((C28*G28*J28)/$D$3)+M28</f>
        <v>384</v>
      </c>
      <c r="O28" s="69">
        <f t="shared" ref="O28:O90" si="8">((E28*H28*K28)/$D$3)</f>
        <v>38.4</v>
      </c>
      <c r="P28" s="69">
        <f t="shared" ref="P28:P90" si="9">((F28*I28*L28)/$D$3)</f>
        <v>0</v>
      </c>
      <c r="Q28" s="69">
        <f t="shared" si="3"/>
        <v>422.4</v>
      </c>
    </row>
    <row r="29" spans="1:17" ht="12.75" customHeight="1" x14ac:dyDescent="0.2">
      <c r="A29" s="16">
        <v>14</v>
      </c>
      <c r="B29" s="499" t="s">
        <v>939</v>
      </c>
      <c r="C29" s="535">
        <f>C27</f>
        <v>20</v>
      </c>
      <c r="D29" s="536"/>
      <c r="E29" s="498">
        <f t="shared" si="4"/>
        <v>4</v>
      </c>
      <c r="F29" s="498">
        <f t="shared" si="5"/>
        <v>5</v>
      </c>
      <c r="G29" s="513">
        <v>8</v>
      </c>
      <c r="H29" s="514">
        <v>6</v>
      </c>
      <c r="I29" s="16">
        <v>0</v>
      </c>
      <c r="J29" s="16">
        <v>13</v>
      </c>
      <c r="K29" s="16">
        <v>14</v>
      </c>
      <c r="L29" s="16">
        <v>14</v>
      </c>
      <c r="N29" s="69">
        <f t="shared" si="7"/>
        <v>2080</v>
      </c>
      <c r="O29" s="69">
        <f t="shared" si="8"/>
        <v>336</v>
      </c>
      <c r="P29" s="69">
        <f t="shared" si="9"/>
        <v>0</v>
      </c>
      <c r="Q29" s="69">
        <f t="shared" si="3"/>
        <v>2416</v>
      </c>
    </row>
    <row r="30" spans="1:17" ht="12.75" hidden="1" customHeight="1" x14ac:dyDescent="0.2">
      <c r="A30" s="16">
        <v>19</v>
      </c>
      <c r="B30" s="16"/>
      <c r="C30" s="535">
        <f t="shared" si="6"/>
        <v>20</v>
      </c>
      <c r="D30" s="536"/>
      <c r="E30" s="498">
        <f t="shared" si="4"/>
        <v>4</v>
      </c>
      <c r="F30" s="498">
        <f t="shared" si="5"/>
        <v>5</v>
      </c>
      <c r="G30" s="17"/>
      <c r="H30" s="16"/>
      <c r="I30" s="16"/>
      <c r="J30" s="16"/>
      <c r="K30" s="16"/>
      <c r="L30" s="16"/>
      <c r="N30" s="69">
        <f t="shared" si="7"/>
        <v>0</v>
      </c>
      <c r="O30" s="69">
        <f t="shared" si="8"/>
        <v>0</v>
      </c>
      <c r="P30" s="69">
        <f t="shared" si="9"/>
        <v>0</v>
      </c>
      <c r="Q30" s="69">
        <f t="shared" ref="Q30:Q90" si="10">SUM(N30:P30)</f>
        <v>0</v>
      </c>
    </row>
    <row r="31" spans="1:17" ht="12.75" hidden="1" customHeight="1" x14ac:dyDescent="0.2">
      <c r="A31" s="16">
        <v>20</v>
      </c>
      <c r="B31" s="16"/>
      <c r="C31" s="535">
        <f t="shared" si="6"/>
        <v>20</v>
      </c>
      <c r="D31" s="536"/>
      <c r="E31" s="498">
        <f t="shared" si="4"/>
        <v>4</v>
      </c>
      <c r="F31" s="498">
        <f t="shared" si="5"/>
        <v>5</v>
      </c>
      <c r="G31" s="17"/>
      <c r="H31" s="16"/>
      <c r="I31" s="16"/>
      <c r="J31" s="16"/>
      <c r="K31" s="16"/>
      <c r="L31" s="16"/>
      <c r="N31" s="69">
        <f t="shared" si="7"/>
        <v>0</v>
      </c>
      <c r="O31" s="69">
        <f t="shared" si="8"/>
        <v>0</v>
      </c>
      <c r="P31" s="69">
        <f t="shared" si="9"/>
        <v>0</v>
      </c>
      <c r="Q31" s="69">
        <f t="shared" si="10"/>
        <v>0</v>
      </c>
    </row>
    <row r="32" spans="1:17" ht="12.75" hidden="1" customHeight="1" x14ac:dyDescent="0.2">
      <c r="A32" s="16">
        <v>21</v>
      </c>
      <c r="B32" s="16"/>
      <c r="C32" s="535">
        <f t="shared" si="6"/>
        <v>20</v>
      </c>
      <c r="D32" s="536"/>
      <c r="E32" s="498">
        <f t="shared" si="4"/>
        <v>4</v>
      </c>
      <c r="F32" s="498">
        <f t="shared" si="5"/>
        <v>5</v>
      </c>
      <c r="G32" s="17"/>
      <c r="H32" s="16"/>
      <c r="I32" s="16"/>
      <c r="J32" s="16"/>
      <c r="K32" s="16"/>
      <c r="L32" s="16"/>
      <c r="N32" s="69">
        <f t="shared" si="7"/>
        <v>0</v>
      </c>
      <c r="O32" s="69">
        <f t="shared" si="8"/>
        <v>0</v>
      </c>
      <c r="P32" s="69">
        <f t="shared" si="9"/>
        <v>0</v>
      </c>
      <c r="Q32" s="69">
        <f t="shared" si="10"/>
        <v>0</v>
      </c>
    </row>
    <row r="33" spans="1:17" ht="12.75" hidden="1" customHeight="1" x14ac:dyDescent="0.2">
      <c r="A33" s="16">
        <v>22</v>
      </c>
      <c r="B33" s="16"/>
      <c r="C33" s="535">
        <f t="shared" si="6"/>
        <v>20</v>
      </c>
      <c r="D33" s="536"/>
      <c r="E33" s="498">
        <f t="shared" si="4"/>
        <v>4</v>
      </c>
      <c r="F33" s="498">
        <f t="shared" si="5"/>
        <v>5</v>
      </c>
      <c r="G33" s="17"/>
      <c r="H33" s="16"/>
      <c r="I33" s="16"/>
      <c r="J33" s="16"/>
      <c r="K33" s="16"/>
      <c r="L33" s="16"/>
      <c r="N33" s="69">
        <f t="shared" si="7"/>
        <v>0</v>
      </c>
      <c r="O33" s="69">
        <f t="shared" si="8"/>
        <v>0</v>
      </c>
      <c r="P33" s="69">
        <f t="shared" si="9"/>
        <v>0</v>
      </c>
      <c r="Q33" s="69">
        <f t="shared" si="10"/>
        <v>0</v>
      </c>
    </row>
    <row r="34" spans="1:17" ht="12.75" hidden="1" customHeight="1" x14ac:dyDescent="0.2">
      <c r="A34" s="16">
        <v>23</v>
      </c>
      <c r="B34" s="16"/>
      <c r="C34" s="535">
        <f t="shared" si="6"/>
        <v>20</v>
      </c>
      <c r="D34" s="536"/>
      <c r="E34" s="498">
        <f t="shared" si="4"/>
        <v>4</v>
      </c>
      <c r="F34" s="498">
        <f t="shared" si="5"/>
        <v>5</v>
      </c>
      <c r="G34" s="17"/>
      <c r="H34" s="16"/>
      <c r="I34" s="16"/>
      <c r="J34" s="16"/>
      <c r="K34" s="16"/>
      <c r="L34" s="16"/>
      <c r="N34" s="69">
        <f t="shared" si="7"/>
        <v>0</v>
      </c>
      <c r="O34" s="69">
        <f t="shared" si="8"/>
        <v>0</v>
      </c>
      <c r="P34" s="69">
        <f t="shared" si="9"/>
        <v>0</v>
      </c>
      <c r="Q34" s="69">
        <f t="shared" si="10"/>
        <v>0</v>
      </c>
    </row>
    <row r="35" spans="1:17" ht="12.75" hidden="1" customHeight="1" x14ac:dyDescent="0.2">
      <c r="A35" s="16">
        <v>24</v>
      </c>
      <c r="B35" s="16"/>
      <c r="C35" s="535">
        <f t="shared" si="6"/>
        <v>20</v>
      </c>
      <c r="D35" s="536"/>
      <c r="E35" s="498">
        <f t="shared" si="4"/>
        <v>4</v>
      </c>
      <c r="F35" s="498">
        <f t="shared" si="5"/>
        <v>5</v>
      </c>
      <c r="G35" s="17"/>
      <c r="H35" s="16"/>
      <c r="I35" s="16"/>
      <c r="J35" s="16"/>
      <c r="K35" s="16"/>
      <c r="L35" s="16"/>
      <c r="N35" s="69">
        <f t="shared" si="7"/>
        <v>0</v>
      </c>
      <c r="O35" s="69">
        <f t="shared" si="8"/>
        <v>0</v>
      </c>
      <c r="P35" s="69">
        <f t="shared" si="9"/>
        <v>0</v>
      </c>
      <c r="Q35" s="69">
        <f t="shared" si="10"/>
        <v>0</v>
      </c>
    </row>
    <row r="36" spans="1:17" ht="12.75" hidden="1" customHeight="1" x14ac:dyDescent="0.2">
      <c r="A36" s="16">
        <v>25</v>
      </c>
      <c r="B36" s="16"/>
      <c r="C36" s="535">
        <f t="shared" si="6"/>
        <v>20</v>
      </c>
      <c r="D36" s="536"/>
      <c r="E36" s="498">
        <f t="shared" si="4"/>
        <v>4</v>
      </c>
      <c r="F36" s="498">
        <f t="shared" si="5"/>
        <v>5</v>
      </c>
      <c r="G36" s="17"/>
      <c r="H36" s="16"/>
      <c r="I36" s="16"/>
      <c r="J36" s="16"/>
      <c r="K36" s="16"/>
      <c r="L36" s="16"/>
      <c r="N36" s="69">
        <f t="shared" si="7"/>
        <v>0</v>
      </c>
      <c r="O36" s="69">
        <f t="shared" si="8"/>
        <v>0</v>
      </c>
      <c r="P36" s="69">
        <f t="shared" si="9"/>
        <v>0</v>
      </c>
      <c r="Q36" s="69">
        <f t="shared" si="10"/>
        <v>0</v>
      </c>
    </row>
    <row r="37" spans="1:17" ht="12.75" hidden="1" customHeight="1" x14ac:dyDescent="0.2">
      <c r="A37" s="16">
        <v>26</v>
      </c>
      <c r="B37" s="16"/>
      <c r="C37" s="535">
        <f t="shared" si="6"/>
        <v>20</v>
      </c>
      <c r="D37" s="536"/>
      <c r="E37" s="498">
        <f t="shared" si="4"/>
        <v>4</v>
      </c>
      <c r="F37" s="498">
        <f t="shared" si="5"/>
        <v>5</v>
      </c>
      <c r="G37" s="17"/>
      <c r="H37" s="16"/>
      <c r="I37" s="16"/>
      <c r="J37" s="16"/>
      <c r="K37" s="16"/>
      <c r="L37" s="16"/>
      <c r="N37" s="69">
        <f t="shared" si="7"/>
        <v>0</v>
      </c>
      <c r="O37" s="69">
        <f t="shared" si="8"/>
        <v>0</v>
      </c>
      <c r="P37" s="69">
        <f t="shared" si="9"/>
        <v>0</v>
      </c>
      <c r="Q37" s="69">
        <f t="shared" si="10"/>
        <v>0</v>
      </c>
    </row>
    <row r="38" spans="1:17" ht="12.75" hidden="1" customHeight="1" x14ac:dyDescent="0.2">
      <c r="A38" s="16">
        <v>27</v>
      </c>
      <c r="B38" s="16"/>
      <c r="C38" s="535">
        <f t="shared" si="6"/>
        <v>20</v>
      </c>
      <c r="D38" s="536"/>
      <c r="E38" s="498">
        <f t="shared" si="4"/>
        <v>4</v>
      </c>
      <c r="F38" s="498">
        <f t="shared" si="5"/>
        <v>5</v>
      </c>
      <c r="G38" s="17"/>
      <c r="H38" s="16"/>
      <c r="I38" s="16"/>
      <c r="J38" s="16"/>
      <c r="K38" s="16"/>
      <c r="L38" s="16"/>
      <c r="N38" s="69">
        <f t="shared" si="7"/>
        <v>0</v>
      </c>
      <c r="O38" s="69">
        <f t="shared" si="8"/>
        <v>0</v>
      </c>
      <c r="P38" s="69">
        <f t="shared" si="9"/>
        <v>0</v>
      </c>
      <c r="Q38" s="69">
        <f t="shared" si="10"/>
        <v>0</v>
      </c>
    </row>
    <row r="39" spans="1:17" ht="12.75" hidden="1" customHeight="1" x14ac:dyDescent="0.2">
      <c r="A39" s="16">
        <v>28</v>
      </c>
      <c r="B39" s="16"/>
      <c r="C39" s="535">
        <f t="shared" si="6"/>
        <v>20</v>
      </c>
      <c r="D39" s="536"/>
      <c r="E39" s="498">
        <f t="shared" si="4"/>
        <v>4</v>
      </c>
      <c r="F39" s="498">
        <f t="shared" si="5"/>
        <v>5</v>
      </c>
      <c r="G39" s="17"/>
      <c r="H39" s="16"/>
      <c r="I39" s="16"/>
      <c r="J39" s="16"/>
      <c r="K39" s="16"/>
      <c r="L39" s="16"/>
      <c r="N39" s="69">
        <f t="shared" si="7"/>
        <v>0</v>
      </c>
      <c r="O39" s="69">
        <f t="shared" si="8"/>
        <v>0</v>
      </c>
      <c r="P39" s="69">
        <f t="shared" si="9"/>
        <v>0</v>
      </c>
      <c r="Q39" s="69">
        <f t="shared" si="10"/>
        <v>0</v>
      </c>
    </row>
    <row r="40" spans="1:17" ht="12.75" hidden="1" customHeight="1" x14ac:dyDescent="0.2">
      <c r="A40" s="16">
        <v>29</v>
      </c>
      <c r="B40" s="16"/>
      <c r="C40" s="535">
        <f t="shared" si="6"/>
        <v>20</v>
      </c>
      <c r="D40" s="536"/>
      <c r="E40" s="498">
        <f t="shared" si="4"/>
        <v>4</v>
      </c>
      <c r="F40" s="498">
        <f t="shared" si="5"/>
        <v>5</v>
      </c>
      <c r="G40" s="17"/>
      <c r="H40" s="16"/>
      <c r="I40" s="16"/>
      <c r="J40" s="16"/>
      <c r="K40" s="16"/>
      <c r="L40" s="16"/>
      <c r="N40" s="69">
        <f t="shared" si="7"/>
        <v>0</v>
      </c>
      <c r="O40" s="69">
        <f t="shared" si="8"/>
        <v>0</v>
      </c>
      <c r="P40" s="69">
        <f t="shared" si="9"/>
        <v>0</v>
      </c>
      <c r="Q40" s="69">
        <f t="shared" si="10"/>
        <v>0</v>
      </c>
    </row>
    <row r="41" spans="1:17" ht="12.75" hidden="1" customHeight="1" x14ac:dyDescent="0.2">
      <c r="A41" s="16">
        <v>30</v>
      </c>
      <c r="B41" s="16"/>
      <c r="C41" s="535">
        <f t="shared" si="6"/>
        <v>20</v>
      </c>
      <c r="D41" s="536"/>
      <c r="E41" s="498">
        <f t="shared" si="4"/>
        <v>4</v>
      </c>
      <c r="F41" s="498">
        <f t="shared" si="5"/>
        <v>5</v>
      </c>
      <c r="G41" s="17"/>
      <c r="H41" s="16"/>
      <c r="I41" s="16"/>
      <c r="J41" s="16"/>
      <c r="K41" s="16"/>
      <c r="L41" s="16"/>
      <c r="N41" s="69">
        <f t="shared" si="7"/>
        <v>0</v>
      </c>
      <c r="O41" s="69">
        <f t="shared" si="8"/>
        <v>0</v>
      </c>
      <c r="P41" s="69">
        <f t="shared" si="9"/>
        <v>0</v>
      </c>
      <c r="Q41" s="69">
        <f t="shared" si="10"/>
        <v>0</v>
      </c>
    </row>
    <row r="42" spans="1:17" ht="12.75" hidden="1" customHeight="1" x14ac:dyDescent="0.2">
      <c r="A42" s="16">
        <v>31</v>
      </c>
      <c r="B42" s="16"/>
      <c r="C42" s="535">
        <f t="shared" si="6"/>
        <v>20</v>
      </c>
      <c r="D42" s="536"/>
      <c r="E42" s="498">
        <f t="shared" si="4"/>
        <v>4</v>
      </c>
      <c r="F42" s="498">
        <f t="shared" si="5"/>
        <v>5</v>
      </c>
      <c r="G42" s="17"/>
      <c r="H42" s="16"/>
      <c r="I42" s="16"/>
      <c r="J42" s="16"/>
      <c r="K42" s="16"/>
      <c r="L42" s="16"/>
      <c r="N42" s="69">
        <f t="shared" si="7"/>
        <v>0</v>
      </c>
      <c r="O42" s="69">
        <f t="shared" si="8"/>
        <v>0</v>
      </c>
      <c r="P42" s="69">
        <f t="shared" si="9"/>
        <v>0</v>
      </c>
      <c r="Q42" s="69">
        <f t="shared" si="10"/>
        <v>0</v>
      </c>
    </row>
    <row r="43" spans="1:17" ht="12.75" hidden="1" customHeight="1" x14ac:dyDescent="0.2">
      <c r="A43" s="16">
        <v>32</v>
      </c>
      <c r="B43" s="16"/>
      <c r="C43" s="535">
        <f t="shared" si="6"/>
        <v>20</v>
      </c>
      <c r="D43" s="536"/>
      <c r="E43" s="498">
        <f t="shared" si="4"/>
        <v>4</v>
      </c>
      <c r="F43" s="498">
        <f t="shared" si="5"/>
        <v>5</v>
      </c>
      <c r="G43" s="17"/>
      <c r="H43" s="16"/>
      <c r="I43" s="16"/>
      <c r="J43" s="16"/>
      <c r="K43" s="16"/>
      <c r="L43" s="16"/>
      <c r="N43" s="69">
        <f t="shared" si="7"/>
        <v>0</v>
      </c>
      <c r="O43" s="69">
        <f t="shared" si="8"/>
        <v>0</v>
      </c>
      <c r="P43" s="69">
        <f t="shared" si="9"/>
        <v>0</v>
      </c>
      <c r="Q43" s="69">
        <f t="shared" si="10"/>
        <v>0</v>
      </c>
    </row>
    <row r="44" spans="1:17" ht="12.75" hidden="1" customHeight="1" x14ac:dyDescent="0.2">
      <c r="A44" s="16">
        <v>33</v>
      </c>
      <c r="B44" s="16"/>
      <c r="C44" s="535">
        <f t="shared" si="6"/>
        <v>20</v>
      </c>
      <c r="D44" s="536"/>
      <c r="E44" s="498">
        <f t="shared" si="4"/>
        <v>4</v>
      </c>
      <c r="F44" s="498">
        <f t="shared" si="5"/>
        <v>5</v>
      </c>
      <c r="G44" s="17"/>
      <c r="H44" s="16"/>
      <c r="I44" s="16"/>
      <c r="J44" s="16"/>
      <c r="K44" s="16"/>
      <c r="L44" s="16"/>
      <c r="N44" s="69">
        <f t="shared" si="7"/>
        <v>0</v>
      </c>
      <c r="O44" s="69">
        <f t="shared" si="8"/>
        <v>0</v>
      </c>
      <c r="P44" s="69">
        <f t="shared" si="9"/>
        <v>0</v>
      </c>
      <c r="Q44" s="69">
        <f t="shared" si="10"/>
        <v>0</v>
      </c>
    </row>
    <row r="45" spans="1:17" ht="12.75" hidden="1" customHeight="1" x14ac:dyDescent="0.2">
      <c r="A45" s="16">
        <v>34</v>
      </c>
      <c r="B45" s="16"/>
      <c r="C45" s="535">
        <f t="shared" si="6"/>
        <v>20</v>
      </c>
      <c r="D45" s="536"/>
      <c r="E45" s="498">
        <f t="shared" si="4"/>
        <v>4</v>
      </c>
      <c r="F45" s="498">
        <f t="shared" si="5"/>
        <v>5</v>
      </c>
      <c r="G45" s="17"/>
      <c r="H45" s="16"/>
      <c r="I45" s="16"/>
      <c r="J45" s="16"/>
      <c r="K45" s="16"/>
      <c r="L45" s="16"/>
      <c r="N45" s="69">
        <f t="shared" si="7"/>
        <v>0</v>
      </c>
      <c r="O45" s="69">
        <f t="shared" si="8"/>
        <v>0</v>
      </c>
      <c r="P45" s="69">
        <f t="shared" si="9"/>
        <v>0</v>
      </c>
      <c r="Q45" s="69">
        <f t="shared" si="10"/>
        <v>0</v>
      </c>
    </row>
    <row r="46" spans="1:17" ht="12.75" hidden="1" customHeight="1" x14ac:dyDescent="0.2">
      <c r="A46" s="16">
        <v>35</v>
      </c>
      <c r="B46" s="16"/>
      <c r="C46" s="535">
        <f t="shared" si="6"/>
        <v>20</v>
      </c>
      <c r="D46" s="536"/>
      <c r="E46" s="498">
        <f t="shared" si="4"/>
        <v>4</v>
      </c>
      <c r="F46" s="498">
        <f t="shared" si="5"/>
        <v>5</v>
      </c>
      <c r="G46" s="17"/>
      <c r="H46" s="16"/>
      <c r="I46" s="16"/>
      <c r="J46" s="16"/>
      <c r="K46" s="16"/>
      <c r="L46" s="16"/>
      <c r="N46" s="69">
        <f t="shared" si="7"/>
        <v>0</v>
      </c>
      <c r="O46" s="69">
        <f t="shared" si="8"/>
        <v>0</v>
      </c>
      <c r="P46" s="69">
        <f t="shared" si="9"/>
        <v>0</v>
      </c>
      <c r="Q46" s="69">
        <f t="shared" si="10"/>
        <v>0</v>
      </c>
    </row>
    <row r="47" spans="1:17" ht="12.75" hidden="1" customHeight="1" x14ac:dyDescent="0.2">
      <c r="A47" s="16">
        <v>36</v>
      </c>
      <c r="B47" s="16"/>
      <c r="C47" s="535">
        <f t="shared" si="6"/>
        <v>20</v>
      </c>
      <c r="D47" s="536"/>
      <c r="E47" s="498">
        <f t="shared" si="4"/>
        <v>4</v>
      </c>
      <c r="F47" s="498">
        <f t="shared" si="5"/>
        <v>5</v>
      </c>
      <c r="G47" s="17"/>
      <c r="H47" s="16"/>
      <c r="I47" s="16"/>
      <c r="J47" s="16"/>
      <c r="K47" s="16"/>
      <c r="L47" s="16"/>
      <c r="N47" s="69">
        <f t="shared" si="7"/>
        <v>0</v>
      </c>
      <c r="O47" s="69">
        <f t="shared" si="8"/>
        <v>0</v>
      </c>
      <c r="P47" s="69">
        <f t="shared" si="9"/>
        <v>0</v>
      </c>
      <c r="Q47" s="69">
        <f t="shared" si="10"/>
        <v>0</v>
      </c>
    </row>
    <row r="48" spans="1:17" ht="12.75" hidden="1" customHeight="1" x14ac:dyDescent="0.2">
      <c r="A48" s="16">
        <v>37</v>
      </c>
      <c r="B48" s="16"/>
      <c r="C48" s="535">
        <f t="shared" si="6"/>
        <v>20</v>
      </c>
      <c r="D48" s="536"/>
      <c r="E48" s="498">
        <f t="shared" si="4"/>
        <v>4</v>
      </c>
      <c r="F48" s="498">
        <f t="shared" si="5"/>
        <v>5</v>
      </c>
      <c r="G48" s="17"/>
      <c r="H48" s="16"/>
      <c r="I48" s="16"/>
      <c r="J48" s="16"/>
      <c r="K48" s="16"/>
      <c r="L48" s="16"/>
      <c r="N48" s="69">
        <f t="shared" si="7"/>
        <v>0</v>
      </c>
      <c r="O48" s="69">
        <f t="shared" si="8"/>
        <v>0</v>
      </c>
      <c r="P48" s="69">
        <f t="shared" si="9"/>
        <v>0</v>
      </c>
      <c r="Q48" s="69">
        <f t="shared" si="10"/>
        <v>0</v>
      </c>
    </row>
    <row r="49" spans="1:17" ht="12.75" hidden="1" customHeight="1" x14ac:dyDescent="0.2">
      <c r="A49" s="16">
        <v>38</v>
      </c>
      <c r="B49" s="16"/>
      <c r="C49" s="535">
        <f t="shared" si="6"/>
        <v>20</v>
      </c>
      <c r="D49" s="536"/>
      <c r="E49" s="498">
        <f t="shared" si="4"/>
        <v>4</v>
      </c>
      <c r="F49" s="498">
        <f t="shared" si="5"/>
        <v>5</v>
      </c>
      <c r="G49" s="17"/>
      <c r="H49" s="16"/>
      <c r="I49" s="16"/>
      <c r="J49" s="16"/>
      <c r="K49" s="16"/>
      <c r="L49" s="16"/>
      <c r="N49" s="69">
        <f t="shared" si="7"/>
        <v>0</v>
      </c>
      <c r="O49" s="69">
        <f t="shared" si="8"/>
        <v>0</v>
      </c>
      <c r="P49" s="69">
        <f t="shared" si="9"/>
        <v>0</v>
      </c>
      <c r="Q49" s="69">
        <f t="shared" si="10"/>
        <v>0</v>
      </c>
    </row>
    <row r="50" spans="1:17" ht="12.75" hidden="1" customHeight="1" x14ac:dyDescent="0.2">
      <c r="A50" s="16">
        <v>39</v>
      </c>
      <c r="B50" s="16"/>
      <c r="C50" s="535">
        <f t="shared" si="6"/>
        <v>20</v>
      </c>
      <c r="D50" s="536"/>
      <c r="E50" s="498">
        <f t="shared" si="4"/>
        <v>4</v>
      </c>
      <c r="F50" s="498">
        <f t="shared" si="5"/>
        <v>5</v>
      </c>
      <c r="G50" s="17"/>
      <c r="H50" s="16"/>
      <c r="I50" s="16"/>
      <c r="J50" s="16"/>
      <c r="K50" s="16"/>
      <c r="L50" s="16"/>
      <c r="N50" s="69">
        <f t="shared" si="7"/>
        <v>0</v>
      </c>
      <c r="O50" s="69">
        <f t="shared" si="8"/>
        <v>0</v>
      </c>
      <c r="P50" s="69">
        <f t="shared" si="9"/>
        <v>0</v>
      </c>
      <c r="Q50" s="69">
        <f t="shared" si="10"/>
        <v>0</v>
      </c>
    </row>
    <row r="51" spans="1:17" ht="12.75" hidden="1" customHeight="1" x14ac:dyDescent="0.2">
      <c r="A51" s="16">
        <v>40</v>
      </c>
      <c r="B51" s="16"/>
      <c r="C51" s="535">
        <f t="shared" si="6"/>
        <v>20</v>
      </c>
      <c r="D51" s="536"/>
      <c r="E51" s="498">
        <f t="shared" si="4"/>
        <v>4</v>
      </c>
      <c r="F51" s="498">
        <f t="shared" si="5"/>
        <v>5</v>
      </c>
      <c r="G51" s="17"/>
      <c r="H51" s="16"/>
      <c r="I51" s="16"/>
      <c r="J51" s="16"/>
      <c r="K51" s="16"/>
      <c r="L51" s="16"/>
      <c r="N51" s="69">
        <f t="shared" si="7"/>
        <v>0</v>
      </c>
      <c r="O51" s="69">
        <f t="shared" si="8"/>
        <v>0</v>
      </c>
      <c r="P51" s="69">
        <f t="shared" si="9"/>
        <v>0</v>
      </c>
      <c r="Q51" s="69">
        <f t="shared" si="10"/>
        <v>0</v>
      </c>
    </row>
    <row r="52" spans="1:17" ht="12.75" hidden="1" customHeight="1" x14ac:dyDescent="0.2">
      <c r="A52" s="16">
        <v>41</v>
      </c>
      <c r="B52" s="16"/>
      <c r="C52" s="535">
        <f t="shared" si="6"/>
        <v>20</v>
      </c>
      <c r="D52" s="536"/>
      <c r="E52" s="498">
        <f t="shared" si="4"/>
        <v>4</v>
      </c>
      <c r="F52" s="498">
        <f t="shared" si="5"/>
        <v>5</v>
      </c>
      <c r="G52" s="17"/>
      <c r="H52" s="16"/>
      <c r="I52" s="16"/>
      <c r="J52" s="16"/>
      <c r="K52" s="16"/>
      <c r="L52" s="16"/>
      <c r="N52" s="69">
        <f t="shared" si="7"/>
        <v>0</v>
      </c>
      <c r="O52" s="69">
        <f t="shared" si="8"/>
        <v>0</v>
      </c>
      <c r="P52" s="69">
        <f t="shared" si="9"/>
        <v>0</v>
      </c>
      <c r="Q52" s="69">
        <f t="shared" si="10"/>
        <v>0</v>
      </c>
    </row>
    <row r="53" spans="1:17" ht="12.75" hidden="1" customHeight="1" x14ac:dyDescent="0.2">
      <c r="A53" s="16">
        <v>42</v>
      </c>
      <c r="B53" s="16"/>
      <c r="C53" s="535">
        <f t="shared" si="6"/>
        <v>20</v>
      </c>
      <c r="D53" s="536"/>
      <c r="E53" s="498">
        <f t="shared" si="4"/>
        <v>4</v>
      </c>
      <c r="F53" s="498">
        <f t="shared" si="5"/>
        <v>5</v>
      </c>
      <c r="G53" s="17"/>
      <c r="H53" s="16"/>
      <c r="I53" s="16"/>
      <c r="J53" s="16"/>
      <c r="K53" s="16"/>
      <c r="L53" s="16"/>
      <c r="N53" s="69">
        <f t="shared" si="7"/>
        <v>0</v>
      </c>
      <c r="O53" s="69">
        <f t="shared" si="8"/>
        <v>0</v>
      </c>
      <c r="P53" s="69">
        <f t="shared" si="9"/>
        <v>0</v>
      </c>
      <c r="Q53" s="69">
        <f t="shared" si="10"/>
        <v>0</v>
      </c>
    </row>
    <row r="54" spans="1:17" ht="12.75" hidden="1" customHeight="1" x14ac:dyDescent="0.2">
      <c r="A54" s="16">
        <v>43</v>
      </c>
      <c r="B54" s="16"/>
      <c r="C54" s="535">
        <f t="shared" si="6"/>
        <v>20</v>
      </c>
      <c r="D54" s="536"/>
      <c r="E54" s="498">
        <f t="shared" si="4"/>
        <v>4</v>
      </c>
      <c r="F54" s="498">
        <f t="shared" si="5"/>
        <v>5</v>
      </c>
      <c r="G54" s="17"/>
      <c r="H54" s="16"/>
      <c r="I54" s="16"/>
      <c r="J54" s="16"/>
      <c r="K54" s="16"/>
      <c r="L54" s="16"/>
      <c r="N54" s="69">
        <f t="shared" si="7"/>
        <v>0</v>
      </c>
      <c r="O54" s="69">
        <f t="shared" si="8"/>
        <v>0</v>
      </c>
      <c r="P54" s="69">
        <f t="shared" si="9"/>
        <v>0</v>
      </c>
      <c r="Q54" s="69">
        <f t="shared" si="10"/>
        <v>0</v>
      </c>
    </row>
    <row r="55" spans="1:17" ht="12.75" hidden="1" customHeight="1" x14ac:dyDescent="0.2">
      <c r="A55" s="16">
        <v>44</v>
      </c>
      <c r="B55" s="16"/>
      <c r="C55" s="535">
        <f t="shared" si="6"/>
        <v>20</v>
      </c>
      <c r="D55" s="536"/>
      <c r="E55" s="498">
        <f t="shared" si="4"/>
        <v>4</v>
      </c>
      <c r="F55" s="498">
        <f t="shared" si="5"/>
        <v>5</v>
      </c>
      <c r="G55" s="17"/>
      <c r="H55" s="16"/>
      <c r="I55" s="16"/>
      <c r="J55" s="16"/>
      <c r="K55" s="16"/>
      <c r="L55" s="16"/>
      <c r="N55" s="69">
        <f t="shared" si="7"/>
        <v>0</v>
      </c>
      <c r="O55" s="69">
        <f t="shared" si="8"/>
        <v>0</v>
      </c>
      <c r="P55" s="69">
        <f t="shared" si="9"/>
        <v>0</v>
      </c>
      <c r="Q55" s="69">
        <f t="shared" si="10"/>
        <v>0</v>
      </c>
    </row>
    <row r="56" spans="1:17" ht="12.75" hidden="1" customHeight="1" x14ac:dyDescent="0.2">
      <c r="A56" s="16">
        <v>45</v>
      </c>
      <c r="B56" s="16"/>
      <c r="C56" s="535">
        <f t="shared" si="6"/>
        <v>20</v>
      </c>
      <c r="D56" s="536"/>
      <c r="E56" s="498">
        <f t="shared" si="4"/>
        <v>4</v>
      </c>
      <c r="F56" s="498">
        <f t="shared" si="5"/>
        <v>5</v>
      </c>
      <c r="G56" s="17"/>
      <c r="H56" s="16"/>
      <c r="I56" s="16"/>
      <c r="J56" s="16"/>
      <c r="K56" s="16"/>
      <c r="L56" s="16"/>
      <c r="N56" s="69">
        <f t="shared" si="7"/>
        <v>0</v>
      </c>
      <c r="O56" s="69">
        <f t="shared" si="8"/>
        <v>0</v>
      </c>
      <c r="P56" s="69">
        <f t="shared" si="9"/>
        <v>0</v>
      </c>
      <c r="Q56" s="69">
        <f t="shared" si="10"/>
        <v>0</v>
      </c>
    </row>
    <row r="57" spans="1:17" ht="12.75" hidden="1" customHeight="1" x14ac:dyDescent="0.2">
      <c r="A57" s="16">
        <v>46</v>
      </c>
      <c r="B57" s="16"/>
      <c r="C57" s="535">
        <f t="shared" si="6"/>
        <v>20</v>
      </c>
      <c r="D57" s="536"/>
      <c r="E57" s="498">
        <f t="shared" si="4"/>
        <v>4</v>
      </c>
      <c r="F57" s="498">
        <f t="shared" si="5"/>
        <v>5</v>
      </c>
      <c r="G57" s="17"/>
      <c r="H57" s="16"/>
      <c r="I57" s="16"/>
      <c r="J57" s="16"/>
      <c r="K57" s="16"/>
      <c r="L57" s="16"/>
      <c r="N57" s="69">
        <f t="shared" si="7"/>
        <v>0</v>
      </c>
      <c r="O57" s="69">
        <f t="shared" si="8"/>
        <v>0</v>
      </c>
      <c r="P57" s="69">
        <f t="shared" si="9"/>
        <v>0</v>
      </c>
      <c r="Q57" s="69">
        <f t="shared" si="10"/>
        <v>0</v>
      </c>
    </row>
    <row r="58" spans="1:17" ht="12.75" hidden="1" customHeight="1" x14ac:dyDescent="0.2">
      <c r="A58" s="16">
        <v>47</v>
      </c>
      <c r="B58" s="16"/>
      <c r="C58" s="535">
        <f t="shared" si="6"/>
        <v>20</v>
      </c>
      <c r="D58" s="536"/>
      <c r="E58" s="498">
        <f t="shared" si="4"/>
        <v>4</v>
      </c>
      <c r="F58" s="498">
        <f t="shared" si="5"/>
        <v>5</v>
      </c>
      <c r="G58" s="17"/>
      <c r="H58" s="16"/>
      <c r="I58" s="16"/>
      <c r="J58" s="16"/>
      <c r="K58" s="16"/>
      <c r="L58" s="16"/>
      <c r="N58" s="69">
        <f t="shared" si="7"/>
        <v>0</v>
      </c>
      <c r="O58" s="69">
        <f t="shared" si="8"/>
        <v>0</v>
      </c>
      <c r="P58" s="69">
        <f t="shared" si="9"/>
        <v>0</v>
      </c>
      <c r="Q58" s="69">
        <f t="shared" si="10"/>
        <v>0</v>
      </c>
    </row>
    <row r="59" spans="1:17" ht="12.75" hidden="1" customHeight="1" x14ac:dyDescent="0.2">
      <c r="A59" s="16">
        <v>48</v>
      </c>
      <c r="B59" s="16"/>
      <c r="C59" s="535">
        <f t="shared" si="6"/>
        <v>20</v>
      </c>
      <c r="D59" s="536"/>
      <c r="E59" s="498">
        <f t="shared" si="4"/>
        <v>4</v>
      </c>
      <c r="F59" s="498">
        <f t="shared" si="5"/>
        <v>5</v>
      </c>
      <c r="G59" s="17"/>
      <c r="H59" s="16"/>
      <c r="I59" s="16"/>
      <c r="J59" s="16"/>
      <c r="K59" s="16"/>
      <c r="L59" s="16"/>
      <c r="N59" s="69">
        <f t="shared" si="7"/>
        <v>0</v>
      </c>
      <c r="O59" s="69">
        <f t="shared" si="8"/>
        <v>0</v>
      </c>
      <c r="P59" s="69">
        <f t="shared" si="9"/>
        <v>0</v>
      </c>
      <c r="Q59" s="69">
        <f t="shared" si="10"/>
        <v>0</v>
      </c>
    </row>
    <row r="60" spans="1:17" ht="12.75" hidden="1" customHeight="1" x14ac:dyDescent="0.2">
      <c r="A60" s="16">
        <v>49</v>
      </c>
      <c r="B60" s="16"/>
      <c r="C60" s="535">
        <f t="shared" si="6"/>
        <v>20</v>
      </c>
      <c r="D60" s="536"/>
      <c r="E60" s="498">
        <f t="shared" si="4"/>
        <v>4</v>
      </c>
      <c r="F60" s="498">
        <f t="shared" si="5"/>
        <v>5</v>
      </c>
      <c r="G60" s="17"/>
      <c r="H60" s="16"/>
      <c r="I60" s="16"/>
      <c r="J60" s="16"/>
      <c r="K60" s="16"/>
      <c r="L60" s="16"/>
      <c r="N60" s="69">
        <f t="shared" si="7"/>
        <v>0</v>
      </c>
      <c r="O60" s="69">
        <f t="shared" si="8"/>
        <v>0</v>
      </c>
      <c r="P60" s="69">
        <f t="shared" si="9"/>
        <v>0</v>
      </c>
      <c r="Q60" s="69">
        <f t="shared" si="10"/>
        <v>0</v>
      </c>
    </row>
    <row r="61" spans="1:17" ht="12.75" hidden="1" customHeight="1" x14ac:dyDescent="0.2">
      <c r="A61" s="16">
        <v>50</v>
      </c>
      <c r="B61" s="16"/>
      <c r="C61" s="535">
        <f t="shared" si="6"/>
        <v>20</v>
      </c>
      <c r="D61" s="536"/>
      <c r="E61" s="498">
        <f t="shared" si="4"/>
        <v>4</v>
      </c>
      <c r="F61" s="498">
        <f t="shared" si="5"/>
        <v>5</v>
      </c>
      <c r="G61" s="17"/>
      <c r="H61" s="16"/>
      <c r="I61" s="16"/>
      <c r="J61" s="16"/>
      <c r="K61" s="16"/>
      <c r="L61" s="16"/>
      <c r="N61" s="69">
        <f t="shared" si="7"/>
        <v>0</v>
      </c>
      <c r="O61" s="69">
        <f t="shared" si="8"/>
        <v>0</v>
      </c>
      <c r="P61" s="69">
        <f t="shared" si="9"/>
        <v>0</v>
      </c>
      <c r="Q61" s="69">
        <f t="shared" si="10"/>
        <v>0</v>
      </c>
    </row>
    <row r="62" spans="1:17" ht="12.75" hidden="1" customHeight="1" x14ac:dyDescent="0.2">
      <c r="A62" s="16">
        <v>51</v>
      </c>
      <c r="B62" s="16"/>
      <c r="C62" s="535">
        <f t="shared" si="6"/>
        <v>20</v>
      </c>
      <c r="D62" s="536"/>
      <c r="E62" s="498">
        <f t="shared" si="4"/>
        <v>4</v>
      </c>
      <c r="F62" s="498">
        <f t="shared" si="5"/>
        <v>5</v>
      </c>
      <c r="G62" s="17"/>
      <c r="H62" s="16"/>
      <c r="I62" s="16"/>
      <c r="J62" s="16"/>
      <c r="K62" s="16"/>
      <c r="L62" s="16"/>
      <c r="N62" s="69">
        <f t="shared" si="7"/>
        <v>0</v>
      </c>
      <c r="O62" s="69">
        <f t="shared" si="8"/>
        <v>0</v>
      </c>
      <c r="P62" s="69">
        <f t="shared" si="9"/>
        <v>0</v>
      </c>
      <c r="Q62" s="69">
        <f t="shared" si="10"/>
        <v>0</v>
      </c>
    </row>
    <row r="63" spans="1:17" ht="12.75" hidden="1" customHeight="1" x14ac:dyDescent="0.2">
      <c r="A63" s="16">
        <v>52</v>
      </c>
      <c r="B63" s="16"/>
      <c r="C63" s="535">
        <f t="shared" si="6"/>
        <v>20</v>
      </c>
      <c r="D63" s="536"/>
      <c r="E63" s="498">
        <f t="shared" si="4"/>
        <v>4</v>
      </c>
      <c r="F63" s="498">
        <f t="shared" si="5"/>
        <v>5</v>
      </c>
      <c r="G63" s="17"/>
      <c r="H63" s="16"/>
      <c r="I63" s="16"/>
      <c r="J63" s="16"/>
      <c r="K63" s="16"/>
      <c r="L63" s="16"/>
      <c r="N63" s="69">
        <f t="shared" si="7"/>
        <v>0</v>
      </c>
      <c r="O63" s="69">
        <f t="shared" si="8"/>
        <v>0</v>
      </c>
      <c r="P63" s="69">
        <f t="shared" si="9"/>
        <v>0</v>
      </c>
      <c r="Q63" s="69">
        <f t="shared" si="10"/>
        <v>0</v>
      </c>
    </row>
    <row r="64" spans="1:17" ht="12.75" hidden="1" customHeight="1" x14ac:dyDescent="0.2">
      <c r="A64" s="16">
        <v>53</v>
      </c>
      <c r="B64" s="16"/>
      <c r="C64" s="535">
        <f t="shared" si="6"/>
        <v>20</v>
      </c>
      <c r="D64" s="536"/>
      <c r="E64" s="498">
        <f t="shared" si="4"/>
        <v>4</v>
      </c>
      <c r="F64" s="498">
        <f t="shared" si="5"/>
        <v>5</v>
      </c>
      <c r="G64" s="17"/>
      <c r="H64" s="16"/>
      <c r="I64" s="16"/>
      <c r="J64" s="16"/>
      <c r="K64" s="16"/>
      <c r="L64" s="16"/>
      <c r="N64" s="69">
        <f t="shared" si="7"/>
        <v>0</v>
      </c>
      <c r="O64" s="69">
        <f t="shared" si="8"/>
        <v>0</v>
      </c>
      <c r="P64" s="69">
        <f t="shared" si="9"/>
        <v>0</v>
      </c>
      <c r="Q64" s="69">
        <f t="shared" si="10"/>
        <v>0</v>
      </c>
    </row>
    <row r="65" spans="1:17" ht="12.75" hidden="1" customHeight="1" x14ac:dyDescent="0.2">
      <c r="A65" s="16">
        <v>54</v>
      </c>
      <c r="B65" s="16"/>
      <c r="C65" s="535">
        <f t="shared" si="6"/>
        <v>20</v>
      </c>
      <c r="D65" s="536"/>
      <c r="E65" s="498">
        <f t="shared" si="4"/>
        <v>4</v>
      </c>
      <c r="F65" s="498">
        <f t="shared" si="5"/>
        <v>5</v>
      </c>
      <c r="G65" s="17"/>
      <c r="H65" s="16"/>
      <c r="I65" s="16"/>
      <c r="J65" s="16"/>
      <c r="K65" s="16"/>
      <c r="L65" s="16"/>
      <c r="N65" s="69">
        <f t="shared" si="7"/>
        <v>0</v>
      </c>
      <c r="O65" s="69">
        <f t="shared" si="8"/>
        <v>0</v>
      </c>
      <c r="P65" s="69">
        <f t="shared" si="9"/>
        <v>0</v>
      </c>
      <c r="Q65" s="69">
        <f t="shared" si="10"/>
        <v>0</v>
      </c>
    </row>
    <row r="66" spans="1:17" ht="12.75" hidden="1" customHeight="1" x14ac:dyDescent="0.2">
      <c r="A66" s="16">
        <v>55</v>
      </c>
      <c r="B66" s="16"/>
      <c r="C66" s="535">
        <f t="shared" si="6"/>
        <v>20</v>
      </c>
      <c r="D66" s="536"/>
      <c r="E66" s="498">
        <f t="shared" si="4"/>
        <v>4</v>
      </c>
      <c r="F66" s="498">
        <f t="shared" si="5"/>
        <v>5</v>
      </c>
      <c r="G66" s="17"/>
      <c r="H66" s="16"/>
      <c r="I66" s="16"/>
      <c r="J66" s="16"/>
      <c r="K66" s="16"/>
      <c r="L66" s="16"/>
      <c r="N66" s="69">
        <f t="shared" si="7"/>
        <v>0</v>
      </c>
      <c r="O66" s="69">
        <f t="shared" si="8"/>
        <v>0</v>
      </c>
      <c r="P66" s="69">
        <f t="shared" si="9"/>
        <v>0</v>
      </c>
      <c r="Q66" s="69">
        <f t="shared" si="10"/>
        <v>0</v>
      </c>
    </row>
    <row r="67" spans="1:17" ht="12.75" hidden="1" customHeight="1" x14ac:dyDescent="0.2">
      <c r="A67" s="16">
        <v>56</v>
      </c>
      <c r="B67" s="16"/>
      <c r="C67" s="535">
        <f t="shared" si="6"/>
        <v>20</v>
      </c>
      <c r="D67" s="536"/>
      <c r="E67" s="498">
        <f t="shared" si="4"/>
        <v>4</v>
      </c>
      <c r="F67" s="498">
        <f t="shared" si="5"/>
        <v>5</v>
      </c>
      <c r="G67" s="17"/>
      <c r="H67" s="16"/>
      <c r="I67" s="16"/>
      <c r="J67" s="16"/>
      <c r="K67" s="16"/>
      <c r="L67" s="16"/>
      <c r="N67" s="69">
        <f t="shared" si="7"/>
        <v>0</v>
      </c>
      <c r="O67" s="69">
        <f t="shared" si="8"/>
        <v>0</v>
      </c>
      <c r="P67" s="69">
        <f t="shared" si="9"/>
        <v>0</v>
      </c>
      <c r="Q67" s="69">
        <f t="shared" si="10"/>
        <v>0</v>
      </c>
    </row>
    <row r="68" spans="1:17" ht="12.75" hidden="1" customHeight="1" x14ac:dyDescent="0.2">
      <c r="A68" s="16">
        <v>57</v>
      </c>
      <c r="B68" s="16"/>
      <c r="C68" s="535">
        <f t="shared" si="6"/>
        <v>20</v>
      </c>
      <c r="D68" s="536"/>
      <c r="E68" s="498">
        <f t="shared" si="4"/>
        <v>4</v>
      </c>
      <c r="F68" s="498">
        <f t="shared" si="5"/>
        <v>5</v>
      </c>
      <c r="G68" s="17"/>
      <c r="H68" s="16"/>
      <c r="I68" s="16"/>
      <c r="J68" s="16"/>
      <c r="K68" s="16"/>
      <c r="L68" s="16"/>
      <c r="N68" s="69">
        <f t="shared" si="7"/>
        <v>0</v>
      </c>
      <c r="O68" s="69">
        <f t="shared" si="8"/>
        <v>0</v>
      </c>
      <c r="P68" s="69">
        <f t="shared" si="9"/>
        <v>0</v>
      </c>
      <c r="Q68" s="69">
        <f t="shared" si="10"/>
        <v>0</v>
      </c>
    </row>
    <row r="69" spans="1:17" ht="12.75" hidden="1" customHeight="1" x14ac:dyDescent="0.2">
      <c r="A69" s="16">
        <v>58</v>
      </c>
      <c r="B69" s="16"/>
      <c r="C69" s="535">
        <f t="shared" si="6"/>
        <v>20</v>
      </c>
      <c r="D69" s="536"/>
      <c r="E69" s="498">
        <f t="shared" si="4"/>
        <v>4</v>
      </c>
      <c r="F69" s="498">
        <f t="shared" si="5"/>
        <v>5</v>
      </c>
      <c r="G69" s="17"/>
      <c r="H69" s="16"/>
      <c r="I69" s="16"/>
      <c r="J69" s="16"/>
      <c r="K69" s="16"/>
      <c r="L69" s="16"/>
      <c r="N69" s="69">
        <f t="shared" si="7"/>
        <v>0</v>
      </c>
      <c r="O69" s="69">
        <f t="shared" si="8"/>
        <v>0</v>
      </c>
      <c r="P69" s="69">
        <f t="shared" si="9"/>
        <v>0</v>
      </c>
      <c r="Q69" s="69">
        <f t="shared" si="10"/>
        <v>0</v>
      </c>
    </row>
    <row r="70" spans="1:17" ht="12.75" hidden="1" customHeight="1" x14ac:dyDescent="0.2">
      <c r="A70" s="16">
        <v>59</v>
      </c>
      <c r="B70" s="16"/>
      <c r="C70" s="535">
        <f t="shared" si="6"/>
        <v>20</v>
      </c>
      <c r="D70" s="536"/>
      <c r="E70" s="498">
        <f t="shared" si="4"/>
        <v>4</v>
      </c>
      <c r="F70" s="498">
        <f t="shared" si="5"/>
        <v>5</v>
      </c>
      <c r="G70" s="17"/>
      <c r="H70" s="16"/>
      <c r="I70" s="16"/>
      <c r="J70" s="16"/>
      <c r="K70" s="16"/>
      <c r="L70" s="16"/>
      <c r="N70" s="69">
        <f t="shared" si="7"/>
        <v>0</v>
      </c>
      <c r="O70" s="69">
        <f t="shared" si="8"/>
        <v>0</v>
      </c>
      <c r="P70" s="69">
        <f t="shared" si="9"/>
        <v>0</v>
      </c>
      <c r="Q70" s="69">
        <f t="shared" si="10"/>
        <v>0</v>
      </c>
    </row>
    <row r="71" spans="1:17" ht="12.75" hidden="1" customHeight="1" x14ac:dyDescent="0.2">
      <c r="A71" s="16">
        <v>60</v>
      </c>
      <c r="B71" s="16"/>
      <c r="C71" s="535">
        <f t="shared" si="6"/>
        <v>20</v>
      </c>
      <c r="D71" s="536"/>
      <c r="E71" s="498">
        <f t="shared" si="4"/>
        <v>4</v>
      </c>
      <c r="F71" s="498">
        <f t="shared" si="5"/>
        <v>5</v>
      </c>
      <c r="G71" s="17"/>
      <c r="H71" s="16"/>
      <c r="I71" s="16"/>
      <c r="J71" s="16"/>
      <c r="K71" s="16"/>
      <c r="L71" s="16"/>
      <c r="N71" s="69">
        <f t="shared" si="7"/>
        <v>0</v>
      </c>
      <c r="O71" s="69">
        <f t="shared" si="8"/>
        <v>0</v>
      </c>
      <c r="P71" s="69">
        <f t="shared" si="9"/>
        <v>0</v>
      </c>
      <c r="Q71" s="69">
        <f t="shared" si="10"/>
        <v>0</v>
      </c>
    </row>
    <row r="72" spans="1:17" ht="12.75" hidden="1" customHeight="1" x14ac:dyDescent="0.2">
      <c r="A72" s="16">
        <v>61</v>
      </c>
      <c r="B72" s="16"/>
      <c r="C72" s="535">
        <f t="shared" si="6"/>
        <v>20</v>
      </c>
      <c r="D72" s="536"/>
      <c r="E72" s="498">
        <f t="shared" si="4"/>
        <v>4</v>
      </c>
      <c r="F72" s="498">
        <f t="shared" si="5"/>
        <v>5</v>
      </c>
      <c r="G72" s="17"/>
      <c r="H72" s="16"/>
      <c r="I72" s="16"/>
      <c r="J72" s="16"/>
      <c r="K72" s="16"/>
      <c r="L72" s="16"/>
      <c r="N72" s="69">
        <f t="shared" si="7"/>
        <v>0</v>
      </c>
      <c r="O72" s="69">
        <f t="shared" si="8"/>
        <v>0</v>
      </c>
      <c r="P72" s="69">
        <f t="shared" si="9"/>
        <v>0</v>
      </c>
      <c r="Q72" s="69">
        <f t="shared" si="10"/>
        <v>0</v>
      </c>
    </row>
    <row r="73" spans="1:17" ht="12.75" hidden="1" customHeight="1" x14ac:dyDescent="0.2">
      <c r="A73" s="16">
        <v>62</v>
      </c>
      <c r="B73" s="16"/>
      <c r="C73" s="535">
        <f t="shared" si="6"/>
        <v>20</v>
      </c>
      <c r="D73" s="536"/>
      <c r="E73" s="498">
        <f t="shared" si="4"/>
        <v>4</v>
      </c>
      <c r="F73" s="498">
        <f t="shared" si="5"/>
        <v>5</v>
      </c>
      <c r="G73" s="17"/>
      <c r="H73" s="16"/>
      <c r="I73" s="16"/>
      <c r="J73" s="16"/>
      <c r="K73" s="16"/>
      <c r="L73" s="16"/>
      <c r="N73" s="69">
        <f t="shared" si="7"/>
        <v>0</v>
      </c>
      <c r="O73" s="69">
        <f t="shared" si="8"/>
        <v>0</v>
      </c>
      <c r="P73" s="69">
        <f t="shared" si="9"/>
        <v>0</v>
      </c>
      <c r="Q73" s="69">
        <f t="shared" si="10"/>
        <v>0</v>
      </c>
    </row>
    <row r="74" spans="1:17" ht="12.75" hidden="1" customHeight="1" x14ac:dyDescent="0.2">
      <c r="A74" s="16">
        <v>63</v>
      </c>
      <c r="B74" s="16"/>
      <c r="C74" s="535">
        <f t="shared" si="6"/>
        <v>20</v>
      </c>
      <c r="D74" s="536"/>
      <c r="E74" s="498">
        <f t="shared" si="4"/>
        <v>4</v>
      </c>
      <c r="F74" s="498">
        <f t="shared" si="5"/>
        <v>5</v>
      </c>
      <c r="G74" s="17"/>
      <c r="H74" s="16"/>
      <c r="I74" s="16"/>
      <c r="J74" s="16"/>
      <c r="K74" s="16"/>
      <c r="L74" s="16"/>
      <c r="N74" s="69">
        <f t="shared" si="7"/>
        <v>0</v>
      </c>
      <c r="O74" s="69">
        <f t="shared" si="8"/>
        <v>0</v>
      </c>
      <c r="P74" s="69">
        <f t="shared" si="9"/>
        <v>0</v>
      </c>
      <c r="Q74" s="69">
        <f t="shared" si="10"/>
        <v>0</v>
      </c>
    </row>
    <row r="75" spans="1:17" ht="12.75" hidden="1" customHeight="1" x14ac:dyDescent="0.2">
      <c r="A75" s="16">
        <v>64</v>
      </c>
      <c r="B75" s="16"/>
      <c r="C75" s="535">
        <f t="shared" si="6"/>
        <v>20</v>
      </c>
      <c r="D75" s="536"/>
      <c r="E75" s="498">
        <f t="shared" si="4"/>
        <v>4</v>
      </c>
      <c r="F75" s="498">
        <f t="shared" si="5"/>
        <v>5</v>
      </c>
      <c r="G75" s="17"/>
      <c r="H75" s="16"/>
      <c r="I75" s="16"/>
      <c r="J75" s="16"/>
      <c r="K75" s="16"/>
      <c r="L75" s="16"/>
      <c r="N75" s="69">
        <f t="shared" si="7"/>
        <v>0</v>
      </c>
      <c r="O75" s="69">
        <f t="shared" si="8"/>
        <v>0</v>
      </c>
      <c r="P75" s="69">
        <f t="shared" si="9"/>
        <v>0</v>
      </c>
      <c r="Q75" s="69">
        <f t="shared" si="10"/>
        <v>0</v>
      </c>
    </row>
    <row r="76" spans="1:17" ht="12.75" hidden="1" customHeight="1" x14ac:dyDescent="0.2">
      <c r="A76" s="16">
        <v>65</v>
      </c>
      <c r="B76" s="16"/>
      <c r="C76" s="535">
        <f t="shared" si="6"/>
        <v>20</v>
      </c>
      <c r="D76" s="536"/>
      <c r="E76" s="498">
        <f t="shared" si="4"/>
        <v>4</v>
      </c>
      <c r="F76" s="498">
        <f t="shared" si="5"/>
        <v>5</v>
      </c>
      <c r="G76" s="17"/>
      <c r="H76" s="16"/>
      <c r="I76" s="16"/>
      <c r="J76" s="16"/>
      <c r="K76" s="16"/>
      <c r="L76" s="16"/>
      <c r="N76" s="69">
        <f t="shared" si="7"/>
        <v>0</v>
      </c>
      <c r="O76" s="69">
        <f t="shared" si="8"/>
        <v>0</v>
      </c>
      <c r="P76" s="69">
        <f t="shared" si="9"/>
        <v>0</v>
      </c>
      <c r="Q76" s="69">
        <f t="shared" si="10"/>
        <v>0</v>
      </c>
    </row>
    <row r="77" spans="1:17" ht="12.75" hidden="1" customHeight="1" x14ac:dyDescent="0.2">
      <c r="A77" s="16">
        <v>66</v>
      </c>
      <c r="B77" s="16"/>
      <c r="C77" s="535">
        <f t="shared" si="6"/>
        <v>20</v>
      </c>
      <c r="D77" s="536"/>
      <c r="E77" s="498">
        <f t="shared" si="4"/>
        <v>4</v>
      </c>
      <c r="F77" s="498">
        <f t="shared" si="5"/>
        <v>5</v>
      </c>
      <c r="G77" s="17"/>
      <c r="H77" s="16"/>
      <c r="I77" s="16"/>
      <c r="J77" s="16"/>
      <c r="K77" s="16"/>
      <c r="L77" s="16"/>
      <c r="N77" s="69">
        <f t="shared" si="7"/>
        <v>0</v>
      </c>
      <c r="O77" s="69">
        <f t="shared" si="8"/>
        <v>0</v>
      </c>
      <c r="P77" s="69">
        <f t="shared" si="9"/>
        <v>0</v>
      </c>
      <c r="Q77" s="69">
        <f t="shared" si="10"/>
        <v>0</v>
      </c>
    </row>
    <row r="78" spans="1:17" ht="12.75" hidden="1" customHeight="1" x14ac:dyDescent="0.2">
      <c r="A78" s="16">
        <v>67</v>
      </c>
      <c r="B78" s="16"/>
      <c r="C78" s="535">
        <f t="shared" si="6"/>
        <v>20</v>
      </c>
      <c r="D78" s="536"/>
      <c r="E78" s="498">
        <f t="shared" si="4"/>
        <v>4</v>
      </c>
      <c r="F78" s="498">
        <f t="shared" si="5"/>
        <v>5</v>
      </c>
      <c r="G78" s="17"/>
      <c r="H78" s="16"/>
      <c r="I78" s="16"/>
      <c r="J78" s="16"/>
      <c r="K78" s="16"/>
      <c r="L78" s="16"/>
      <c r="N78" s="69">
        <f t="shared" si="7"/>
        <v>0</v>
      </c>
      <c r="O78" s="69">
        <f t="shared" si="8"/>
        <v>0</v>
      </c>
      <c r="P78" s="69">
        <f t="shared" si="9"/>
        <v>0</v>
      </c>
      <c r="Q78" s="69">
        <f t="shared" si="10"/>
        <v>0</v>
      </c>
    </row>
    <row r="79" spans="1:17" ht="12.75" hidden="1" customHeight="1" x14ac:dyDescent="0.2">
      <c r="A79" s="16">
        <v>68</v>
      </c>
      <c r="B79" s="16"/>
      <c r="C79" s="535">
        <f t="shared" si="6"/>
        <v>20</v>
      </c>
      <c r="D79" s="536"/>
      <c r="E79" s="498">
        <f t="shared" si="4"/>
        <v>4</v>
      </c>
      <c r="F79" s="498">
        <f t="shared" si="5"/>
        <v>5</v>
      </c>
      <c r="G79" s="17"/>
      <c r="H79" s="16"/>
      <c r="I79" s="16"/>
      <c r="J79" s="16"/>
      <c r="K79" s="16"/>
      <c r="L79" s="16"/>
      <c r="N79" s="69">
        <f t="shared" si="7"/>
        <v>0</v>
      </c>
      <c r="O79" s="69">
        <f t="shared" si="8"/>
        <v>0</v>
      </c>
      <c r="P79" s="69">
        <f t="shared" si="9"/>
        <v>0</v>
      </c>
      <c r="Q79" s="69">
        <f t="shared" si="10"/>
        <v>0</v>
      </c>
    </row>
    <row r="80" spans="1:17" ht="12.75" hidden="1" customHeight="1" x14ac:dyDescent="0.2">
      <c r="A80" s="16">
        <v>69</v>
      </c>
      <c r="B80" s="16"/>
      <c r="C80" s="535">
        <f t="shared" si="6"/>
        <v>20</v>
      </c>
      <c r="D80" s="536"/>
      <c r="E80" s="498">
        <f t="shared" si="4"/>
        <v>4</v>
      </c>
      <c r="F80" s="498">
        <f t="shared" si="5"/>
        <v>5</v>
      </c>
      <c r="G80" s="17"/>
      <c r="H80" s="16"/>
      <c r="I80" s="16"/>
      <c r="J80" s="16"/>
      <c r="K80" s="16"/>
      <c r="L80" s="16"/>
      <c r="N80" s="69">
        <f t="shared" si="7"/>
        <v>0</v>
      </c>
      <c r="O80" s="69">
        <f t="shared" si="8"/>
        <v>0</v>
      </c>
      <c r="P80" s="69">
        <f t="shared" si="9"/>
        <v>0</v>
      </c>
      <c r="Q80" s="69">
        <f t="shared" si="10"/>
        <v>0</v>
      </c>
    </row>
    <row r="81" spans="1:17" ht="12.75" hidden="1" customHeight="1" x14ac:dyDescent="0.2">
      <c r="A81" s="16">
        <v>70</v>
      </c>
      <c r="B81" s="16"/>
      <c r="C81" s="535">
        <f t="shared" si="6"/>
        <v>20</v>
      </c>
      <c r="D81" s="536"/>
      <c r="E81" s="498">
        <f t="shared" si="4"/>
        <v>4</v>
      </c>
      <c r="F81" s="498">
        <f t="shared" si="5"/>
        <v>5</v>
      </c>
      <c r="G81" s="17"/>
      <c r="H81" s="16"/>
      <c r="I81" s="16"/>
      <c r="J81" s="16"/>
      <c r="K81" s="16"/>
      <c r="L81" s="16"/>
      <c r="N81" s="69">
        <f t="shared" si="7"/>
        <v>0</v>
      </c>
      <c r="O81" s="69">
        <f t="shared" si="8"/>
        <v>0</v>
      </c>
      <c r="P81" s="69">
        <f t="shared" si="9"/>
        <v>0</v>
      </c>
      <c r="Q81" s="69">
        <f t="shared" si="10"/>
        <v>0</v>
      </c>
    </row>
    <row r="82" spans="1:17" ht="12.75" hidden="1" customHeight="1" x14ac:dyDescent="0.2">
      <c r="A82" s="16">
        <v>71</v>
      </c>
      <c r="B82" s="16"/>
      <c r="C82" s="535">
        <f t="shared" si="6"/>
        <v>20</v>
      </c>
      <c r="D82" s="536"/>
      <c r="E82" s="498">
        <f t="shared" ref="E82:F110" si="11">E81</f>
        <v>4</v>
      </c>
      <c r="F82" s="498">
        <f t="shared" si="11"/>
        <v>5</v>
      </c>
      <c r="G82" s="17"/>
      <c r="H82" s="16"/>
      <c r="I82" s="16"/>
      <c r="J82" s="16"/>
      <c r="K82" s="16"/>
      <c r="L82" s="16"/>
      <c r="N82" s="69">
        <f t="shared" si="7"/>
        <v>0</v>
      </c>
      <c r="O82" s="69">
        <f t="shared" si="8"/>
        <v>0</v>
      </c>
      <c r="P82" s="69">
        <f t="shared" si="9"/>
        <v>0</v>
      </c>
      <c r="Q82" s="69">
        <f t="shared" si="10"/>
        <v>0</v>
      </c>
    </row>
    <row r="83" spans="1:17" ht="12.75" hidden="1" customHeight="1" x14ac:dyDescent="0.2">
      <c r="A83" s="16">
        <v>72</v>
      </c>
      <c r="B83" s="16"/>
      <c r="C83" s="535">
        <f t="shared" si="6"/>
        <v>20</v>
      </c>
      <c r="D83" s="536"/>
      <c r="E83" s="498">
        <f t="shared" si="11"/>
        <v>4</v>
      </c>
      <c r="F83" s="498">
        <f t="shared" si="11"/>
        <v>5</v>
      </c>
      <c r="G83" s="17"/>
      <c r="H83" s="16"/>
      <c r="I83" s="16"/>
      <c r="J83" s="16"/>
      <c r="K83" s="16"/>
      <c r="L83" s="16"/>
      <c r="N83" s="69">
        <f t="shared" si="7"/>
        <v>0</v>
      </c>
      <c r="O83" s="69">
        <f t="shared" si="8"/>
        <v>0</v>
      </c>
      <c r="P83" s="69">
        <f t="shared" si="9"/>
        <v>0</v>
      </c>
      <c r="Q83" s="69">
        <f t="shared" si="10"/>
        <v>0</v>
      </c>
    </row>
    <row r="84" spans="1:17" ht="12.75" hidden="1" customHeight="1" x14ac:dyDescent="0.2">
      <c r="A84" s="16">
        <v>73</v>
      </c>
      <c r="B84" s="16"/>
      <c r="C84" s="535">
        <f t="shared" si="6"/>
        <v>20</v>
      </c>
      <c r="D84" s="536"/>
      <c r="E84" s="498">
        <f t="shared" si="11"/>
        <v>4</v>
      </c>
      <c r="F84" s="498">
        <f t="shared" si="11"/>
        <v>5</v>
      </c>
      <c r="G84" s="17"/>
      <c r="H84" s="16"/>
      <c r="I84" s="16"/>
      <c r="J84" s="16"/>
      <c r="K84" s="16"/>
      <c r="L84" s="16"/>
      <c r="N84" s="69">
        <f t="shared" si="7"/>
        <v>0</v>
      </c>
      <c r="O84" s="69">
        <f t="shared" si="8"/>
        <v>0</v>
      </c>
      <c r="P84" s="69">
        <f t="shared" si="9"/>
        <v>0</v>
      </c>
      <c r="Q84" s="69">
        <f t="shared" si="10"/>
        <v>0</v>
      </c>
    </row>
    <row r="85" spans="1:17" ht="12.75" hidden="1" customHeight="1" x14ac:dyDescent="0.2">
      <c r="A85" s="16">
        <v>74</v>
      </c>
      <c r="B85" s="16"/>
      <c r="C85" s="535">
        <f t="shared" ref="C85:C110" si="12">C83</f>
        <v>20</v>
      </c>
      <c r="D85" s="536"/>
      <c r="E85" s="498">
        <f t="shared" si="11"/>
        <v>4</v>
      </c>
      <c r="F85" s="498">
        <f t="shared" si="11"/>
        <v>5</v>
      </c>
      <c r="G85" s="17"/>
      <c r="H85" s="16"/>
      <c r="I85" s="16"/>
      <c r="J85" s="16"/>
      <c r="K85" s="16"/>
      <c r="L85" s="16"/>
      <c r="N85" s="69">
        <f t="shared" si="7"/>
        <v>0</v>
      </c>
      <c r="O85" s="69">
        <f t="shared" si="8"/>
        <v>0</v>
      </c>
      <c r="P85" s="69">
        <f t="shared" si="9"/>
        <v>0</v>
      </c>
      <c r="Q85" s="69">
        <f t="shared" si="10"/>
        <v>0</v>
      </c>
    </row>
    <row r="86" spans="1:17" ht="12.75" hidden="1" customHeight="1" x14ac:dyDescent="0.2">
      <c r="A86" s="16">
        <v>75</v>
      </c>
      <c r="B86" s="16"/>
      <c r="C86" s="535">
        <f t="shared" si="12"/>
        <v>20</v>
      </c>
      <c r="D86" s="536"/>
      <c r="E86" s="498">
        <f t="shared" si="11"/>
        <v>4</v>
      </c>
      <c r="F86" s="498">
        <f t="shared" si="11"/>
        <v>5</v>
      </c>
      <c r="G86" s="17"/>
      <c r="H86" s="16"/>
      <c r="I86" s="16"/>
      <c r="J86" s="16"/>
      <c r="K86" s="16"/>
      <c r="L86" s="16"/>
      <c r="N86" s="69">
        <f t="shared" si="7"/>
        <v>0</v>
      </c>
      <c r="O86" s="69">
        <f t="shared" si="8"/>
        <v>0</v>
      </c>
      <c r="P86" s="69">
        <f t="shared" si="9"/>
        <v>0</v>
      </c>
      <c r="Q86" s="69">
        <f t="shared" si="10"/>
        <v>0</v>
      </c>
    </row>
    <row r="87" spans="1:17" ht="12.75" hidden="1" customHeight="1" x14ac:dyDescent="0.2">
      <c r="A87" s="16">
        <v>76</v>
      </c>
      <c r="B87" s="16"/>
      <c r="C87" s="535">
        <f t="shared" si="12"/>
        <v>20</v>
      </c>
      <c r="D87" s="536"/>
      <c r="E87" s="498">
        <f t="shared" si="11"/>
        <v>4</v>
      </c>
      <c r="F87" s="498">
        <f t="shared" si="11"/>
        <v>5</v>
      </c>
      <c r="G87" s="17"/>
      <c r="H87" s="16"/>
      <c r="I87" s="16"/>
      <c r="J87" s="16"/>
      <c r="K87" s="16"/>
      <c r="L87" s="16"/>
      <c r="N87" s="69">
        <f t="shared" si="7"/>
        <v>0</v>
      </c>
      <c r="O87" s="69">
        <f t="shared" si="8"/>
        <v>0</v>
      </c>
      <c r="P87" s="69">
        <f t="shared" si="9"/>
        <v>0</v>
      </c>
      <c r="Q87" s="69">
        <f t="shared" si="10"/>
        <v>0</v>
      </c>
    </row>
    <row r="88" spans="1:17" ht="12.75" hidden="1" customHeight="1" x14ac:dyDescent="0.2">
      <c r="A88" s="16">
        <v>77</v>
      </c>
      <c r="B88" s="16"/>
      <c r="C88" s="535">
        <f t="shared" si="12"/>
        <v>20</v>
      </c>
      <c r="D88" s="536"/>
      <c r="E88" s="498">
        <f t="shared" si="11"/>
        <v>4</v>
      </c>
      <c r="F88" s="498">
        <f t="shared" si="11"/>
        <v>5</v>
      </c>
      <c r="G88" s="17"/>
      <c r="H88" s="16"/>
      <c r="I88" s="16"/>
      <c r="J88" s="16"/>
      <c r="K88" s="16"/>
      <c r="L88" s="16"/>
      <c r="N88" s="69">
        <f t="shared" si="7"/>
        <v>0</v>
      </c>
      <c r="O88" s="69">
        <f t="shared" si="8"/>
        <v>0</v>
      </c>
      <c r="P88" s="69">
        <f t="shared" si="9"/>
        <v>0</v>
      </c>
      <c r="Q88" s="69">
        <f t="shared" si="10"/>
        <v>0</v>
      </c>
    </row>
    <row r="89" spans="1:17" ht="12.75" hidden="1" customHeight="1" x14ac:dyDescent="0.2">
      <c r="A89" s="16">
        <v>78</v>
      </c>
      <c r="B89" s="16"/>
      <c r="C89" s="535">
        <f t="shared" si="12"/>
        <v>20</v>
      </c>
      <c r="D89" s="536"/>
      <c r="E89" s="498">
        <f t="shared" si="11"/>
        <v>4</v>
      </c>
      <c r="F89" s="498">
        <f t="shared" si="11"/>
        <v>5</v>
      </c>
      <c r="G89" s="17"/>
      <c r="H89" s="16"/>
      <c r="I89" s="16"/>
      <c r="J89" s="16"/>
      <c r="K89" s="16"/>
      <c r="L89" s="16"/>
      <c r="N89" s="69">
        <f t="shared" si="7"/>
        <v>0</v>
      </c>
      <c r="O89" s="69">
        <f t="shared" si="8"/>
        <v>0</v>
      </c>
      <c r="P89" s="69">
        <f t="shared" si="9"/>
        <v>0</v>
      </c>
      <c r="Q89" s="69">
        <f t="shared" si="10"/>
        <v>0</v>
      </c>
    </row>
    <row r="90" spans="1:17" ht="12.75" hidden="1" customHeight="1" x14ac:dyDescent="0.2">
      <c r="A90" s="16">
        <v>79</v>
      </c>
      <c r="B90" s="16"/>
      <c r="C90" s="535">
        <f t="shared" si="12"/>
        <v>20</v>
      </c>
      <c r="D90" s="536"/>
      <c r="E90" s="498">
        <f t="shared" si="11"/>
        <v>4</v>
      </c>
      <c r="F90" s="498">
        <f t="shared" si="11"/>
        <v>5</v>
      </c>
      <c r="G90" s="17"/>
      <c r="H90" s="16"/>
      <c r="I90" s="16"/>
      <c r="J90" s="16"/>
      <c r="K90" s="16"/>
      <c r="L90" s="16"/>
      <c r="N90" s="69">
        <f t="shared" si="7"/>
        <v>0</v>
      </c>
      <c r="O90" s="69">
        <f t="shared" si="8"/>
        <v>0</v>
      </c>
      <c r="P90" s="69">
        <f t="shared" si="9"/>
        <v>0</v>
      </c>
      <c r="Q90" s="69">
        <f t="shared" si="10"/>
        <v>0</v>
      </c>
    </row>
    <row r="91" spans="1:17" ht="12.75" hidden="1" customHeight="1" x14ac:dyDescent="0.2">
      <c r="A91" s="16">
        <v>80</v>
      </c>
      <c r="B91" s="16"/>
      <c r="C91" s="535">
        <f t="shared" si="12"/>
        <v>20</v>
      </c>
      <c r="D91" s="536"/>
      <c r="E91" s="498">
        <f t="shared" si="11"/>
        <v>4</v>
      </c>
      <c r="F91" s="498">
        <f t="shared" si="11"/>
        <v>5</v>
      </c>
      <c r="G91" s="17"/>
      <c r="H91" s="16"/>
      <c r="I91" s="16"/>
      <c r="J91" s="16"/>
      <c r="K91" s="16"/>
      <c r="L91" s="16"/>
      <c r="N91" s="69">
        <f t="shared" ref="N91:N110" si="13">((C91*G91*J91)/$D$3)+M91</f>
        <v>0</v>
      </c>
      <c r="O91" s="69">
        <f t="shared" ref="O91:O110" si="14">((E91*H91*K91)/$D$3)</f>
        <v>0</v>
      </c>
      <c r="P91" s="69">
        <f t="shared" ref="P91:P110" si="15">((F91*I91*L91)/$D$3)</f>
        <v>0</v>
      </c>
      <c r="Q91" s="69">
        <f t="shared" ref="Q91:Q111" si="16">SUM(N91:P91)</f>
        <v>0</v>
      </c>
    </row>
    <row r="92" spans="1:17" ht="12.75" hidden="1" customHeight="1" x14ac:dyDescent="0.2">
      <c r="A92" s="16">
        <v>81</v>
      </c>
      <c r="B92" s="16"/>
      <c r="C92" s="535">
        <f t="shared" si="12"/>
        <v>20</v>
      </c>
      <c r="D92" s="536"/>
      <c r="E92" s="498">
        <f t="shared" si="11"/>
        <v>4</v>
      </c>
      <c r="F92" s="498">
        <f t="shared" si="11"/>
        <v>5</v>
      </c>
      <c r="G92" s="17"/>
      <c r="H92" s="16"/>
      <c r="I92" s="16"/>
      <c r="J92" s="16"/>
      <c r="K92" s="16"/>
      <c r="L92" s="16"/>
      <c r="N92" s="69">
        <f t="shared" si="13"/>
        <v>0</v>
      </c>
      <c r="O92" s="69">
        <f t="shared" si="14"/>
        <v>0</v>
      </c>
      <c r="P92" s="69">
        <f t="shared" si="15"/>
        <v>0</v>
      </c>
      <c r="Q92" s="69">
        <f t="shared" si="16"/>
        <v>0</v>
      </c>
    </row>
    <row r="93" spans="1:17" ht="12.75" hidden="1" customHeight="1" x14ac:dyDescent="0.2">
      <c r="A93" s="16">
        <v>82</v>
      </c>
      <c r="B93" s="16"/>
      <c r="C93" s="535">
        <f t="shared" si="12"/>
        <v>20</v>
      </c>
      <c r="D93" s="536"/>
      <c r="E93" s="498">
        <f t="shared" si="11"/>
        <v>4</v>
      </c>
      <c r="F93" s="498">
        <f t="shared" si="11"/>
        <v>5</v>
      </c>
      <c r="G93" s="17"/>
      <c r="H93" s="16"/>
      <c r="I93" s="16"/>
      <c r="J93" s="16"/>
      <c r="K93" s="16"/>
      <c r="L93" s="16"/>
      <c r="N93" s="69">
        <f t="shared" si="13"/>
        <v>0</v>
      </c>
      <c r="O93" s="69">
        <f t="shared" si="14"/>
        <v>0</v>
      </c>
      <c r="P93" s="69">
        <f t="shared" si="15"/>
        <v>0</v>
      </c>
      <c r="Q93" s="69">
        <f t="shared" si="16"/>
        <v>0</v>
      </c>
    </row>
    <row r="94" spans="1:17" ht="12.75" hidden="1" customHeight="1" x14ac:dyDescent="0.2">
      <c r="A94" s="16">
        <v>83</v>
      </c>
      <c r="B94" s="16"/>
      <c r="C94" s="535">
        <f t="shared" si="12"/>
        <v>20</v>
      </c>
      <c r="D94" s="536"/>
      <c r="E94" s="498">
        <f t="shared" si="11"/>
        <v>4</v>
      </c>
      <c r="F94" s="498">
        <f t="shared" si="11"/>
        <v>5</v>
      </c>
      <c r="G94" s="17"/>
      <c r="H94" s="16"/>
      <c r="I94" s="16"/>
      <c r="J94" s="16"/>
      <c r="K94" s="16"/>
      <c r="L94" s="16"/>
      <c r="N94" s="69">
        <f t="shared" si="13"/>
        <v>0</v>
      </c>
      <c r="O94" s="69">
        <f t="shared" si="14"/>
        <v>0</v>
      </c>
      <c r="P94" s="69">
        <f t="shared" si="15"/>
        <v>0</v>
      </c>
      <c r="Q94" s="69">
        <f t="shared" si="16"/>
        <v>0</v>
      </c>
    </row>
    <row r="95" spans="1:17" ht="12.75" hidden="1" customHeight="1" x14ac:dyDescent="0.2">
      <c r="A95" s="16">
        <v>84</v>
      </c>
      <c r="B95" s="16"/>
      <c r="C95" s="535">
        <f t="shared" si="12"/>
        <v>20</v>
      </c>
      <c r="D95" s="536"/>
      <c r="E95" s="498">
        <f t="shared" si="11"/>
        <v>4</v>
      </c>
      <c r="F95" s="498">
        <f t="shared" si="11"/>
        <v>5</v>
      </c>
      <c r="G95" s="17"/>
      <c r="H95" s="16"/>
      <c r="I95" s="16"/>
      <c r="J95" s="16"/>
      <c r="K95" s="16"/>
      <c r="L95" s="16"/>
      <c r="N95" s="69">
        <f t="shared" si="13"/>
        <v>0</v>
      </c>
      <c r="O95" s="69">
        <f t="shared" si="14"/>
        <v>0</v>
      </c>
      <c r="P95" s="69">
        <f t="shared" si="15"/>
        <v>0</v>
      </c>
      <c r="Q95" s="69">
        <f t="shared" si="16"/>
        <v>0</v>
      </c>
    </row>
    <row r="96" spans="1:17" ht="12.75" hidden="1" customHeight="1" x14ac:dyDescent="0.2">
      <c r="A96" s="16">
        <v>85</v>
      </c>
      <c r="B96" s="16"/>
      <c r="C96" s="535">
        <f t="shared" si="12"/>
        <v>20</v>
      </c>
      <c r="D96" s="536"/>
      <c r="E96" s="498">
        <f t="shared" si="11"/>
        <v>4</v>
      </c>
      <c r="F96" s="498">
        <f t="shared" si="11"/>
        <v>5</v>
      </c>
      <c r="G96" s="17"/>
      <c r="H96" s="16"/>
      <c r="I96" s="16"/>
      <c r="J96" s="16"/>
      <c r="K96" s="16"/>
      <c r="L96" s="16"/>
      <c r="N96" s="69">
        <f t="shared" si="13"/>
        <v>0</v>
      </c>
      <c r="O96" s="69">
        <f t="shared" si="14"/>
        <v>0</v>
      </c>
      <c r="P96" s="69">
        <f t="shared" si="15"/>
        <v>0</v>
      </c>
      <c r="Q96" s="69">
        <f t="shared" si="16"/>
        <v>0</v>
      </c>
    </row>
    <row r="97" spans="1:17" ht="12.75" hidden="1" customHeight="1" x14ac:dyDescent="0.2">
      <c r="A97" s="16">
        <v>86</v>
      </c>
      <c r="B97" s="16"/>
      <c r="C97" s="535">
        <f t="shared" si="12"/>
        <v>20</v>
      </c>
      <c r="D97" s="536"/>
      <c r="E97" s="498">
        <f t="shared" si="11"/>
        <v>4</v>
      </c>
      <c r="F97" s="498">
        <f t="shared" si="11"/>
        <v>5</v>
      </c>
      <c r="G97" s="17"/>
      <c r="H97" s="16"/>
      <c r="I97" s="16"/>
      <c r="J97" s="16"/>
      <c r="K97" s="16"/>
      <c r="L97" s="16"/>
      <c r="N97" s="69">
        <f t="shared" si="13"/>
        <v>0</v>
      </c>
      <c r="O97" s="69">
        <f t="shared" si="14"/>
        <v>0</v>
      </c>
      <c r="P97" s="69">
        <f t="shared" si="15"/>
        <v>0</v>
      </c>
      <c r="Q97" s="69">
        <f t="shared" si="16"/>
        <v>0</v>
      </c>
    </row>
    <row r="98" spans="1:17" ht="12.75" hidden="1" customHeight="1" x14ac:dyDescent="0.2">
      <c r="A98" s="16">
        <v>87</v>
      </c>
      <c r="B98" s="16"/>
      <c r="C98" s="535">
        <f t="shared" si="12"/>
        <v>20</v>
      </c>
      <c r="D98" s="536"/>
      <c r="E98" s="498">
        <f t="shared" si="11"/>
        <v>4</v>
      </c>
      <c r="F98" s="498">
        <f t="shared" si="11"/>
        <v>5</v>
      </c>
      <c r="G98" s="17"/>
      <c r="H98" s="16"/>
      <c r="I98" s="16"/>
      <c r="J98" s="16"/>
      <c r="K98" s="16"/>
      <c r="L98" s="16"/>
      <c r="N98" s="69">
        <f t="shared" si="13"/>
        <v>0</v>
      </c>
      <c r="O98" s="69">
        <f t="shared" si="14"/>
        <v>0</v>
      </c>
      <c r="P98" s="69">
        <f t="shared" si="15"/>
        <v>0</v>
      </c>
      <c r="Q98" s="69">
        <f t="shared" si="16"/>
        <v>0</v>
      </c>
    </row>
    <row r="99" spans="1:17" ht="12.75" hidden="1" customHeight="1" x14ac:dyDescent="0.2">
      <c r="A99" s="16">
        <v>88</v>
      </c>
      <c r="B99" s="16"/>
      <c r="C99" s="535">
        <f t="shared" si="12"/>
        <v>20</v>
      </c>
      <c r="D99" s="536"/>
      <c r="E99" s="498">
        <f t="shared" si="11"/>
        <v>4</v>
      </c>
      <c r="F99" s="498">
        <f t="shared" si="11"/>
        <v>5</v>
      </c>
      <c r="G99" s="17"/>
      <c r="H99" s="16"/>
      <c r="I99" s="16"/>
      <c r="J99" s="16"/>
      <c r="K99" s="16"/>
      <c r="L99" s="16"/>
      <c r="N99" s="69">
        <f t="shared" si="13"/>
        <v>0</v>
      </c>
      <c r="O99" s="69">
        <f t="shared" si="14"/>
        <v>0</v>
      </c>
      <c r="P99" s="69">
        <f t="shared" si="15"/>
        <v>0</v>
      </c>
      <c r="Q99" s="69">
        <f t="shared" si="16"/>
        <v>0</v>
      </c>
    </row>
    <row r="100" spans="1:17" ht="12.75" hidden="1" customHeight="1" x14ac:dyDescent="0.2">
      <c r="A100" s="16">
        <v>89</v>
      </c>
      <c r="B100" s="16"/>
      <c r="C100" s="535">
        <f t="shared" si="12"/>
        <v>20</v>
      </c>
      <c r="D100" s="536"/>
      <c r="E100" s="498">
        <f t="shared" si="11"/>
        <v>4</v>
      </c>
      <c r="F100" s="498">
        <f t="shared" si="11"/>
        <v>5</v>
      </c>
      <c r="G100" s="17"/>
      <c r="H100" s="16"/>
      <c r="I100" s="16"/>
      <c r="J100" s="16"/>
      <c r="K100" s="16"/>
      <c r="L100" s="16"/>
      <c r="N100" s="69">
        <f t="shared" si="13"/>
        <v>0</v>
      </c>
      <c r="O100" s="69">
        <f t="shared" si="14"/>
        <v>0</v>
      </c>
      <c r="P100" s="69">
        <f t="shared" si="15"/>
        <v>0</v>
      </c>
      <c r="Q100" s="69">
        <f t="shared" si="16"/>
        <v>0</v>
      </c>
    </row>
    <row r="101" spans="1:17" ht="12.75" hidden="1" customHeight="1" x14ac:dyDescent="0.2">
      <c r="A101" s="16">
        <v>90</v>
      </c>
      <c r="B101" s="16"/>
      <c r="C101" s="535">
        <f t="shared" si="12"/>
        <v>20</v>
      </c>
      <c r="D101" s="536"/>
      <c r="E101" s="498">
        <f t="shared" si="11"/>
        <v>4</v>
      </c>
      <c r="F101" s="498">
        <f t="shared" si="11"/>
        <v>5</v>
      </c>
      <c r="G101" s="17"/>
      <c r="H101" s="16"/>
      <c r="I101" s="16"/>
      <c r="J101" s="16"/>
      <c r="K101" s="16"/>
      <c r="L101" s="16"/>
      <c r="N101" s="69">
        <f t="shared" si="13"/>
        <v>0</v>
      </c>
      <c r="O101" s="69">
        <f t="shared" si="14"/>
        <v>0</v>
      </c>
      <c r="P101" s="69">
        <f t="shared" si="15"/>
        <v>0</v>
      </c>
      <c r="Q101" s="69">
        <f t="shared" si="16"/>
        <v>0</v>
      </c>
    </row>
    <row r="102" spans="1:17" ht="12.75" hidden="1" customHeight="1" x14ac:dyDescent="0.2">
      <c r="A102" s="16">
        <v>91</v>
      </c>
      <c r="B102" s="16"/>
      <c r="C102" s="535">
        <f t="shared" si="12"/>
        <v>20</v>
      </c>
      <c r="D102" s="536"/>
      <c r="E102" s="498">
        <f t="shared" si="11"/>
        <v>4</v>
      </c>
      <c r="F102" s="498">
        <f t="shared" si="11"/>
        <v>5</v>
      </c>
      <c r="G102" s="17"/>
      <c r="H102" s="16"/>
      <c r="I102" s="16"/>
      <c r="J102" s="16"/>
      <c r="K102" s="16"/>
      <c r="L102" s="16"/>
      <c r="N102" s="69">
        <f t="shared" si="13"/>
        <v>0</v>
      </c>
      <c r="O102" s="69">
        <f t="shared" si="14"/>
        <v>0</v>
      </c>
      <c r="P102" s="69">
        <f t="shared" si="15"/>
        <v>0</v>
      </c>
      <c r="Q102" s="69">
        <f t="shared" si="16"/>
        <v>0</v>
      </c>
    </row>
    <row r="103" spans="1:17" ht="12.75" hidden="1" customHeight="1" x14ac:dyDescent="0.2">
      <c r="A103" s="16">
        <v>92</v>
      </c>
      <c r="B103" s="16"/>
      <c r="C103" s="535">
        <f t="shared" si="12"/>
        <v>20</v>
      </c>
      <c r="D103" s="536"/>
      <c r="E103" s="498">
        <f t="shared" si="11"/>
        <v>4</v>
      </c>
      <c r="F103" s="498">
        <f t="shared" si="11"/>
        <v>5</v>
      </c>
      <c r="G103" s="17"/>
      <c r="H103" s="16"/>
      <c r="I103" s="16"/>
      <c r="J103" s="16"/>
      <c r="K103" s="16"/>
      <c r="L103" s="16"/>
      <c r="N103" s="69">
        <f t="shared" si="13"/>
        <v>0</v>
      </c>
      <c r="O103" s="69">
        <f t="shared" si="14"/>
        <v>0</v>
      </c>
      <c r="P103" s="69">
        <f t="shared" si="15"/>
        <v>0</v>
      </c>
      <c r="Q103" s="69">
        <f t="shared" si="16"/>
        <v>0</v>
      </c>
    </row>
    <row r="104" spans="1:17" ht="12.75" hidden="1" customHeight="1" x14ac:dyDescent="0.2">
      <c r="A104" s="16">
        <v>93</v>
      </c>
      <c r="B104" s="16"/>
      <c r="C104" s="535">
        <f t="shared" si="12"/>
        <v>20</v>
      </c>
      <c r="D104" s="536"/>
      <c r="E104" s="498">
        <f t="shared" si="11"/>
        <v>4</v>
      </c>
      <c r="F104" s="498">
        <f t="shared" si="11"/>
        <v>5</v>
      </c>
      <c r="G104" s="17"/>
      <c r="H104" s="16"/>
      <c r="I104" s="16"/>
      <c r="J104" s="16"/>
      <c r="K104" s="16"/>
      <c r="L104" s="16"/>
      <c r="N104" s="69">
        <f t="shared" si="13"/>
        <v>0</v>
      </c>
      <c r="O104" s="69">
        <f t="shared" si="14"/>
        <v>0</v>
      </c>
      <c r="P104" s="69">
        <f t="shared" si="15"/>
        <v>0</v>
      </c>
      <c r="Q104" s="69">
        <f t="shared" si="16"/>
        <v>0</v>
      </c>
    </row>
    <row r="105" spans="1:17" ht="12.75" hidden="1" customHeight="1" x14ac:dyDescent="0.2">
      <c r="A105" s="16">
        <v>94</v>
      </c>
      <c r="B105" s="16"/>
      <c r="C105" s="535">
        <f t="shared" si="12"/>
        <v>20</v>
      </c>
      <c r="D105" s="536"/>
      <c r="E105" s="498">
        <f t="shared" si="11"/>
        <v>4</v>
      </c>
      <c r="F105" s="498">
        <f t="shared" si="11"/>
        <v>5</v>
      </c>
      <c r="G105" s="17"/>
      <c r="H105" s="16"/>
      <c r="I105" s="16"/>
      <c r="J105" s="16"/>
      <c r="K105" s="16"/>
      <c r="L105" s="16"/>
      <c r="N105" s="69">
        <f t="shared" si="13"/>
        <v>0</v>
      </c>
      <c r="O105" s="69">
        <f t="shared" si="14"/>
        <v>0</v>
      </c>
      <c r="P105" s="69">
        <f t="shared" si="15"/>
        <v>0</v>
      </c>
      <c r="Q105" s="69">
        <f t="shared" si="16"/>
        <v>0</v>
      </c>
    </row>
    <row r="106" spans="1:17" ht="12.75" hidden="1" customHeight="1" x14ac:dyDescent="0.2">
      <c r="A106" s="16">
        <v>95</v>
      </c>
      <c r="B106" s="16"/>
      <c r="C106" s="535">
        <f t="shared" si="12"/>
        <v>20</v>
      </c>
      <c r="D106" s="536"/>
      <c r="E106" s="498">
        <f t="shared" si="11"/>
        <v>4</v>
      </c>
      <c r="F106" s="498">
        <f t="shared" si="11"/>
        <v>5</v>
      </c>
      <c r="G106" s="17"/>
      <c r="H106" s="16"/>
      <c r="I106" s="16"/>
      <c r="J106" s="16"/>
      <c r="K106" s="16"/>
      <c r="L106" s="16"/>
      <c r="N106" s="69">
        <f t="shared" si="13"/>
        <v>0</v>
      </c>
      <c r="O106" s="69">
        <f t="shared" si="14"/>
        <v>0</v>
      </c>
      <c r="P106" s="69">
        <f t="shared" si="15"/>
        <v>0</v>
      </c>
      <c r="Q106" s="69">
        <f t="shared" si="16"/>
        <v>0</v>
      </c>
    </row>
    <row r="107" spans="1:17" ht="12.75" hidden="1" customHeight="1" x14ac:dyDescent="0.2">
      <c r="A107" s="16">
        <v>96</v>
      </c>
      <c r="B107" s="16"/>
      <c r="C107" s="535">
        <f t="shared" si="12"/>
        <v>20</v>
      </c>
      <c r="D107" s="536"/>
      <c r="E107" s="498">
        <f t="shared" si="11"/>
        <v>4</v>
      </c>
      <c r="F107" s="498">
        <f t="shared" si="11"/>
        <v>5</v>
      </c>
      <c r="G107" s="17"/>
      <c r="H107" s="16"/>
      <c r="I107" s="16"/>
      <c r="J107" s="16"/>
      <c r="K107" s="16"/>
      <c r="L107" s="16"/>
      <c r="N107" s="69">
        <f t="shared" si="13"/>
        <v>0</v>
      </c>
      <c r="O107" s="69">
        <f t="shared" si="14"/>
        <v>0</v>
      </c>
      <c r="P107" s="69">
        <f t="shared" si="15"/>
        <v>0</v>
      </c>
      <c r="Q107" s="69">
        <f t="shared" si="16"/>
        <v>0</v>
      </c>
    </row>
    <row r="108" spans="1:17" ht="12.75" hidden="1" customHeight="1" x14ac:dyDescent="0.2">
      <c r="A108" s="16">
        <v>97</v>
      </c>
      <c r="B108" s="16"/>
      <c r="C108" s="535">
        <f t="shared" si="12"/>
        <v>20</v>
      </c>
      <c r="D108" s="536"/>
      <c r="E108" s="498">
        <f t="shared" si="11"/>
        <v>4</v>
      </c>
      <c r="F108" s="498">
        <f t="shared" si="11"/>
        <v>5</v>
      </c>
      <c r="G108" s="17"/>
      <c r="H108" s="16"/>
      <c r="I108" s="16"/>
      <c r="J108" s="16"/>
      <c r="K108" s="16"/>
      <c r="L108" s="16"/>
      <c r="N108" s="69">
        <f t="shared" si="13"/>
        <v>0</v>
      </c>
      <c r="O108" s="69">
        <f t="shared" si="14"/>
        <v>0</v>
      </c>
      <c r="P108" s="69">
        <f t="shared" si="15"/>
        <v>0</v>
      </c>
      <c r="Q108" s="69">
        <f t="shared" si="16"/>
        <v>0</v>
      </c>
    </row>
    <row r="109" spans="1:17" ht="12.75" hidden="1" customHeight="1" x14ac:dyDescent="0.2">
      <c r="A109" s="16">
        <v>98</v>
      </c>
      <c r="B109" s="16"/>
      <c r="C109" s="535">
        <f t="shared" si="12"/>
        <v>20</v>
      </c>
      <c r="D109" s="536"/>
      <c r="E109" s="498">
        <f t="shared" si="11"/>
        <v>4</v>
      </c>
      <c r="F109" s="498">
        <f t="shared" si="11"/>
        <v>5</v>
      </c>
      <c r="G109" s="17"/>
      <c r="H109" s="16"/>
      <c r="I109" s="16"/>
      <c r="J109" s="16"/>
      <c r="K109" s="16"/>
      <c r="L109" s="16"/>
      <c r="N109" s="69">
        <f t="shared" si="13"/>
        <v>0</v>
      </c>
      <c r="O109" s="69">
        <f t="shared" si="14"/>
        <v>0</v>
      </c>
      <c r="P109" s="69">
        <f t="shared" si="15"/>
        <v>0</v>
      </c>
      <c r="Q109" s="69">
        <f t="shared" si="16"/>
        <v>0</v>
      </c>
    </row>
    <row r="110" spans="1:17" ht="12.75" hidden="1" customHeight="1" x14ac:dyDescent="0.2">
      <c r="A110" s="16">
        <v>99</v>
      </c>
      <c r="B110" s="16"/>
      <c r="C110" s="535">
        <f t="shared" si="12"/>
        <v>20</v>
      </c>
      <c r="D110" s="536"/>
      <c r="E110" s="498">
        <f t="shared" si="11"/>
        <v>4</v>
      </c>
      <c r="F110" s="498">
        <f t="shared" si="11"/>
        <v>5</v>
      </c>
      <c r="G110" s="17"/>
      <c r="H110" s="16"/>
      <c r="I110" s="16"/>
      <c r="J110" s="16"/>
      <c r="K110" s="16"/>
      <c r="L110" s="16"/>
      <c r="N110" s="69">
        <f t="shared" si="13"/>
        <v>0</v>
      </c>
      <c r="O110" s="69">
        <f t="shared" si="14"/>
        <v>0</v>
      </c>
      <c r="P110" s="69">
        <f t="shared" si="15"/>
        <v>0</v>
      </c>
      <c r="Q110" s="69">
        <f t="shared" si="16"/>
        <v>0</v>
      </c>
    </row>
    <row r="111" spans="1:17" hidden="1" x14ac:dyDescent="0.2">
      <c r="A111" s="16">
        <v>100</v>
      </c>
      <c r="B111" s="16"/>
      <c r="C111" s="544"/>
      <c r="D111" s="545"/>
      <c r="E111" s="16"/>
      <c r="F111" s="16"/>
      <c r="G111" s="17"/>
      <c r="H111" s="16"/>
      <c r="I111" s="16"/>
      <c r="J111" s="16"/>
      <c r="K111" s="16"/>
      <c r="L111" s="16"/>
      <c r="N111" s="69">
        <f>((C111*G111*J111)/$D$3)+M111</f>
        <v>0</v>
      </c>
      <c r="O111" s="69" t="e">
        <f>((E111*H111*K111)/$D$3)+#REF!</f>
        <v>#REF!</v>
      </c>
      <c r="P111" s="69" t="e">
        <f>((F111*I111*L111)/$D$3)+#REF!</f>
        <v>#REF!</v>
      </c>
      <c r="Q111" s="69" t="e">
        <f t="shared" si="16"/>
        <v>#REF!</v>
      </c>
    </row>
    <row r="112" spans="1:17" ht="15.75" x14ac:dyDescent="0.2">
      <c r="N112" s="541" t="s">
        <v>922</v>
      </c>
      <c r="O112" s="542"/>
      <c r="P112" s="543"/>
      <c r="Q112" s="69">
        <f>SUM(Q16:Q110)</f>
        <v>51078.5</v>
      </c>
    </row>
    <row r="114" spans="16:16" x14ac:dyDescent="0.2">
      <c r="P114" s="237"/>
    </row>
  </sheetData>
  <mergeCells count="114">
    <mergeCell ref="G14:I14"/>
    <mergeCell ref="J14:L14"/>
    <mergeCell ref="B6:C6"/>
    <mergeCell ref="B7:C7"/>
    <mergeCell ref="B10:C10"/>
    <mergeCell ref="A1:L1"/>
    <mergeCell ref="A13:A15"/>
    <mergeCell ref="B13:B15"/>
    <mergeCell ref="G13:I13"/>
    <mergeCell ref="J13:L13"/>
    <mergeCell ref="B3:C3"/>
    <mergeCell ref="C13:F13"/>
    <mergeCell ref="C15:D15"/>
    <mergeCell ref="C16:D16"/>
    <mergeCell ref="C17:D17"/>
    <mergeCell ref="C14:F14"/>
    <mergeCell ref="C18:D18"/>
    <mergeCell ref="C19:D19"/>
    <mergeCell ref="C20:D20"/>
    <mergeCell ref="C21:D21"/>
    <mergeCell ref="C22:D22"/>
    <mergeCell ref="C23:D23"/>
    <mergeCell ref="C27:D27"/>
    <mergeCell ref="C28:D28"/>
    <mergeCell ref="C29:D29"/>
    <mergeCell ref="C30:D30"/>
    <mergeCell ref="C31:D31"/>
    <mergeCell ref="C24:D24"/>
    <mergeCell ref="C25:D25"/>
    <mergeCell ref="C26:D26"/>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88:D88"/>
    <mergeCell ref="C89:D89"/>
    <mergeCell ref="C90:D90"/>
    <mergeCell ref="C100:D100"/>
    <mergeCell ref="C101:D101"/>
    <mergeCell ref="C78:D78"/>
    <mergeCell ref="C79:D79"/>
    <mergeCell ref="C91:D91"/>
    <mergeCell ref="C80:D80"/>
    <mergeCell ref="C81:D81"/>
    <mergeCell ref="C82:D82"/>
    <mergeCell ref="C83:D83"/>
    <mergeCell ref="C84:D84"/>
    <mergeCell ref="C85:D85"/>
    <mergeCell ref="C108:D108"/>
    <mergeCell ref="N14:Q14"/>
    <mergeCell ref="N13:Q13"/>
    <mergeCell ref="K2:M2"/>
    <mergeCell ref="C92:D92"/>
    <mergeCell ref="C93:D93"/>
    <mergeCell ref="C94:D94"/>
    <mergeCell ref="C95:D95"/>
    <mergeCell ref="N112:P112"/>
    <mergeCell ref="C110:D110"/>
    <mergeCell ref="C111:D111"/>
    <mergeCell ref="C102:D102"/>
    <mergeCell ref="C103:D103"/>
    <mergeCell ref="C104:D104"/>
    <mergeCell ref="C105:D105"/>
    <mergeCell ref="C106:D106"/>
    <mergeCell ref="C109:D109"/>
    <mergeCell ref="C96:D96"/>
    <mergeCell ref="C97:D97"/>
    <mergeCell ref="C107:D107"/>
    <mergeCell ref="C98:D98"/>
    <mergeCell ref="C99:D99"/>
    <mergeCell ref="C86:D86"/>
    <mergeCell ref="C87:D87"/>
  </mergeCells>
  <phoneticPr fontId="0" type="noConversion"/>
  <pageMargins left="0.78740157499999996" right="0.78740157499999996" top="0.984251969" bottom="0.984251969" header="0.49212598499999999" footer="0.49212598499999999"/>
  <pageSetup paperSize="9" scale="3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ilha30">
    <tabColor theme="6" tint="0.39997558519241921"/>
  </sheetPr>
  <dimension ref="A1:K12"/>
  <sheetViews>
    <sheetView workbookViewId="0">
      <selection activeCell="F9" sqref="F9"/>
    </sheetView>
  </sheetViews>
  <sheetFormatPr defaultRowHeight="12.75" x14ac:dyDescent="0.2"/>
  <cols>
    <col min="1" max="6" width="9.140625" customWidth="1"/>
    <col min="7" max="7" width="5.140625" customWidth="1"/>
    <col min="8" max="8" width="9.140625" customWidth="1"/>
    <col min="9" max="9" width="12.28515625" customWidth="1"/>
    <col min="10" max="10" width="10.140625" customWidth="1"/>
  </cols>
  <sheetData>
    <row r="1" spans="1:11" ht="15" x14ac:dyDescent="0.25">
      <c r="A1" s="20" t="s">
        <v>671</v>
      </c>
    </row>
    <row r="3" spans="1:11" s="6" customFormat="1" ht="15" x14ac:dyDescent="0.25">
      <c r="A3" s="22" t="s">
        <v>683</v>
      </c>
      <c r="B3" s="27" t="s">
        <v>763</v>
      </c>
    </row>
    <row r="4" spans="1:11" s="6" customFormat="1" ht="15.75" thickBot="1" x14ac:dyDescent="0.3">
      <c r="A4" s="27"/>
      <c r="B4" s="27"/>
    </row>
    <row r="5" spans="1:11" s="6" customFormat="1" ht="16.5" customHeight="1" thickBot="1" x14ac:dyDescent="0.3">
      <c r="B5" s="485" t="s">
        <v>214</v>
      </c>
      <c r="C5" s="486"/>
      <c r="D5" s="486"/>
      <c r="E5" s="487"/>
      <c r="F5" s="488" t="s">
        <v>387</v>
      </c>
      <c r="H5" s="276" t="s">
        <v>83</v>
      </c>
      <c r="I5" s="277"/>
      <c r="J5" s="277"/>
      <c r="K5" s="278"/>
    </row>
    <row r="6" spans="1:11" s="6" customFormat="1" ht="15.75" customHeight="1" x14ac:dyDescent="0.25">
      <c r="B6" s="485" t="s">
        <v>868</v>
      </c>
      <c r="C6" s="486"/>
      <c r="D6" s="486"/>
      <c r="E6" s="487"/>
      <c r="F6" s="489"/>
      <c r="H6" s="33"/>
      <c r="I6" s="64"/>
      <c r="J6" s="64"/>
      <c r="K6" s="34"/>
    </row>
    <row r="7" spans="1:11" s="6" customFormat="1" ht="15.75" customHeight="1" x14ac:dyDescent="0.25">
      <c r="B7" s="490" t="s">
        <v>766</v>
      </c>
      <c r="C7" s="491"/>
      <c r="D7" s="491"/>
      <c r="E7" s="492"/>
      <c r="F7" s="183">
        <v>0.06</v>
      </c>
      <c r="H7" s="35"/>
      <c r="I7" s="2"/>
      <c r="J7" s="44" t="s">
        <v>81</v>
      </c>
      <c r="K7" s="36"/>
    </row>
    <row r="8" spans="1:11" s="6" customFormat="1" ht="15" customHeight="1" x14ac:dyDescent="0.25">
      <c r="B8" s="490" t="s">
        <v>767</v>
      </c>
      <c r="C8" s="491"/>
      <c r="D8" s="491"/>
      <c r="E8" s="492"/>
      <c r="F8" s="183">
        <v>7.0000000000000007E-2</v>
      </c>
      <c r="H8" s="35"/>
      <c r="I8" s="4"/>
      <c r="J8" s="44" t="s">
        <v>93</v>
      </c>
      <c r="K8" s="36"/>
    </row>
    <row r="9" spans="1:11" s="6" customFormat="1" ht="15.75" x14ac:dyDescent="0.25">
      <c r="B9" s="490" t="s">
        <v>388</v>
      </c>
      <c r="C9" s="491"/>
      <c r="D9" s="491"/>
      <c r="E9" s="492"/>
      <c r="F9" s="183">
        <v>0.08</v>
      </c>
      <c r="H9" s="35"/>
      <c r="I9" s="43"/>
      <c r="J9" s="44" t="s">
        <v>82</v>
      </c>
      <c r="K9" s="36"/>
    </row>
    <row r="10" spans="1:11" s="6" customFormat="1" ht="16.5" thickBot="1" x14ac:dyDescent="0.3">
      <c r="B10" s="490" t="s">
        <v>768</v>
      </c>
      <c r="C10" s="491"/>
      <c r="D10" s="491"/>
      <c r="E10" s="492"/>
      <c r="F10" s="183">
        <v>0.09</v>
      </c>
      <c r="H10" s="37"/>
      <c r="I10" s="38"/>
      <c r="J10" s="38"/>
      <c r="K10" s="39"/>
    </row>
    <row r="11" spans="1:11" s="6" customFormat="1" ht="15.75" x14ac:dyDescent="0.25">
      <c r="B11" s="490" t="s">
        <v>769</v>
      </c>
      <c r="C11" s="491"/>
      <c r="D11" s="491"/>
      <c r="E11" s="492"/>
      <c r="F11" s="183">
        <v>0.1</v>
      </c>
    </row>
    <row r="12" spans="1:11" ht="15.75" x14ac:dyDescent="0.25">
      <c r="B12" s="484" t="s">
        <v>389</v>
      </c>
      <c r="C12" s="484"/>
      <c r="D12" s="484"/>
      <c r="E12" s="484"/>
      <c r="F12" s="183">
        <v>0.12</v>
      </c>
    </row>
  </sheetData>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ilha31">
    <tabColor theme="6" tint="0.39997558519241921"/>
  </sheetPr>
  <dimension ref="A1:K11"/>
  <sheetViews>
    <sheetView workbookViewId="0"/>
  </sheetViews>
  <sheetFormatPr defaultRowHeight="12.75" x14ac:dyDescent="0.2"/>
  <cols>
    <col min="1" max="1" width="6.7109375" bestFit="1" customWidth="1"/>
    <col min="2" max="4" width="9.140625" customWidth="1"/>
    <col min="5" max="5" width="12.42578125" customWidth="1"/>
    <col min="6" max="6" width="17.85546875" customWidth="1"/>
    <col min="7" max="7" width="9.140625" customWidth="1"/>
    <col min="8" max="8" width="1.5703125" customWidth="1"/>
    <col min="9" max="9" width="9.140625" customWidth="1"/>
    <col min="10" max="10" width="38.7109375" customWidth="1"/>
    <col min="11" max="11" width="0.85546875" customWidth="1"/>
  </cols>
  <sheetData>
    <row r="1" spans="1:11" x14ac:dyDescent="0.2">
      <c r="A1" s="468" t="s">
        <v>672</v>
      </c>
    </row>
    <row r="3" spans="1:11" s="6" customFormat="1" ht="15" x14ac:dyDescent="0.25">
      <c r="A3" s="22" t="s">
        <v>684</v>
      </c>
      <c r="B3" s="27" t="s">
        <v>215</v>
      </c>
    </row>
    <row r="4" spans="1:11" s="6" customFormat="1" ht="15.75" thickBot="1" x14ac:dyDescent="0.3">
      <c r="A4" s="27"/>
      <c r="B4" s="27"/>
    </row>
    <row r="5" spans="1:11" s="6" customFormat="1" ht="16.5" thickBot="1" x14ac:dyDescent="0.3">
      <c r="A5" s="663" t="s">
        <v>216</v>
      </c>
      <c r="B5" s="663"/>
      <c r="C5" s="663"/>
      <c r="D5" s="664"/>
      <c r="E5" s="118" t="s">
        <v>869</v>
      </c>
      <c r="F5" s="118" t="s">
        <v>870</v>
      </c>
      <c r="H5" s="518" t="s">
        <v>83</v>
      </c>
      <c r="I5" s="519"/>
      <c r="J5" s="519"/>
      <c r="K5" s="520"/>
    </row>
    <row r="6" spans="1:11" s="6" customFormat="1" ht="15.75" customHeight="1" x14ac:dyDescent="0.25">
      <c r="A6" s="663"/>
      <c r="B6" s="663"/>
      <c r="C6" s="663"/>
      <c r="D6" s="664"/>
      <c r="E6" s="494">
        <v>0.01</v>
      </c>
      <c r="F6" s="142">
        <v>1.5E-3</v>
      </c>
      <c r="H6" s="33"/>
      <c r="I6" s="64"/>
      <c r="J6" s="64"/>
      <c r="K6" s="34"/>
    </row>
    <row r="7" spans="1:11" s="6" customFormat="1" ht="15.75" customHeight="1" x14ac:dyDescent="0.25">
      <c r="A7" s="27"/>
      <c r="B7" s="27"/>
      <c r="C7" s="27"/>
      <c r="D7" s="27"/>
      <c r="H7" s="35"/>
      <c r="I7" s="2"/>
      <c r="J7" s="44" t="s">
        <v>81</v>
      </c>
      <c r="K7" s="36"/>
    </row>
    <row r="8" spans="1:11" s="6" customFormat="1" ht="15" customHeight="1" x14ac:dyDescent="0.25">
      <c r="A8"/>
      <c r="B8"/>
      <c r="C8"/>
      <c r="D8"/>
      <c r="E8"/>
      <c r="F8"/>
      <c r="H8" s="35"/>
      <c r="I8" s="4"/>
      <c r="J8" s="44" t="s">
        <v>93</v>
      </c>
      <c r="K8" s="36"/>
    </row>
    <row r="9" spans="1:11" s="6" customFormat="1" ht="15" x14ac:dyDescent="0.25">
      <c r="A9"/>
      <c r="B9"/>
      <c r="C9"/>
      <c r="D9"/>
      <c r="E9"/>
      <c r="F9"/>
      <c r="H9" s="35"/>
      <c r="I9" s="43"/>
      <c r="J9" s="44" t="s">
        <v>82</v>
      </c>
      <c r="K9" s="36"/>
    </row>
    <row r="10" spans="1:11" s="6" customFormat="1" ht="15.75" thickBot="1" x14ac:dyDescent="0.3">
      <c r="A10"/>
      <c r="B10"/>
      <c r="C10"/>
      <c r="D10"/>
      <c r="E10"/>
      <c r="F10"/>
      <c r="H10" s="37"/>
      <c r="I10" s="38"/>
      <c r="J10" s="38"/>
      <c r="K10" s="39"/>
    </row>
    <row r="11" spans="1:11" s="6" customFormat="1" ht="15" x14ac:dyDescent="0.25">
      <c r="A11"/>
      <c r="B11"/>
      <c r="C11"/>
      <c r="D11"/>
      <c r="E11"/>
      <c r="F11"/>
    </row>
  </sheetData>
  <mergeCells count="2">
    <mergeCell ref="H5:K5"/>
    <mergeCell ref="A5:D6"/>
  </mergeCells>
  <hyperlinks>
    <hyperlink ref="A1" location="'2.1.c Insumos'!A1" display="ANEXO VIII – CUSTOS AMBIENTAIS" xr:uid="{00000000-0004-0000-1E00-000000000000}"/>
  </hyperlinks>
  <pageMargins left="0.511811024" right="0.511811024" top="0.78740157499999996" bottom="0.78740157499999996" header="0.31496062000000002" footer="0.3149606200000000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ilha32">
    <tabColor theme="6" tint="0.39997558519241921"/>
  </sheetPr>
  <dimension ref="A1:N248"/>
  <sheetViews>
    <sheetView topLeftCell="A199" workbookViewId="0">
      <selection activeCell="H63" sqref="H63"/>
    </sheetView>
  </sheetViews>
  <sheetFormatPr defaultColWidth="11.42578125" defaultRowHeight="15" x14ac:dyDescent="0.25"/>
  <cols>
    <col min="1" max="1" width="5.5703125" style="6" bestFit="1" customWidth="1"/>
    <col min="2" max="2" width="2.7109375" style="6" customWidth="1"/>
    <col min="3" max="3" width="3.5703125" style="6" bestFit="1" customWidth="1"/>
    <col min="4" max="4" width="21" style="6" customWidth="1"/>
    <col min="5" max="5" width="19" style="6" customWidth="1"/>
    <col min="6" max="7" width="26.7109375" style="6" customWidth="1"/>
    <col min="8" max="9" width="26.85546875" style="6" bestFit="1" customWidth="1"/>
    <col min="10" max="10" width="17.5703125" style="6" customWidth="1"/>
    <col min="11" max="11" width="4.42578125" style="6" customWidth="1"/>
    <col min="12" max="12" width="11.42578125" style="6" customWidth="1"/>
    <col min="13" max="13" width="42.5703125" style="6" bestFit="1" customWidth="1"/>
    <col min="14" max="14" width="11.85546875" style="6" customWidth="1"/>
    <col min="15" max="16384" width="11.42578125" style="6"/>
  </cols>
  <sheetData>
    <row r="1" spans="1:14" x14ac:dyDescent="0.25">
      <c r="A1" s="468" t="s">
        <v>673</v>
      </c>
    </row>
    <row r="3" spans="1:14" x14ac:dyDescent="0.25">
      <c r="A3" s="27" t="s">
        <v>674</v>
      </c>
    </row>
    <row r="5" spans="1:14" ht="15.75" thickBot="1" x14ac:dyDescent="0.3">
      <c r="A5" s="27" t="s">
        <v>685</v>
      </c>
      <c r="B5" s="27" t="s">
        <v>120</v>
      </c>
    </row>
    <row r="6" spans="1:14" ht="15.75" thickBot="1" x14ac:dyDescent="0.3">
      <c r="A6" s="689" t="s">
        <v>7</v>
      </c>
      <c r="B6" s="699"/>
      <c r="C6" s="699"/>
      <c r="D6" s="699"/>
      <c r="E6" s="686" t="s">
        <v>121</v>
      </c>
      <c r="F6" s="689" t="s">
        <v>122</v>
      </c>
      <c r="K6" s="518" t="s">
        <v>83</v>
      </c>
      <c r="L6" s="519"/>
      <c r="M6" s="519"/>
      <c r="N6" s="520"/>
    </row>
    <row r="7" spans="1:14" x14ac:dyDescent="0.25">
      <c r="A7" s="691"/>
      <c r="B7" s="700"/>
      <c r="C7" s="700"/>
      <c r="D7" s="700"/>
      <c r="E7" s="686"/>
      <c r="F7" s="674"/>
      <c r="K7" s="33"/>
      <c r="L7" s="64"/>
      <c r="M7" s="64"/>
      <c r="N7" s="34"/>
    </row>
    <row r="8" spans="1:14" ht="15" hidden="1" customHeight="1" x14ac:dyDescent="0.25">
      <c r="A8" s="665" t="s">
        <v>10</v>
      </c>
      <c r="B8" s="666"/>
      <c r="C8" s="666"/>
      <c r="D8" s="666"/>
      <c r="E8" s="740">
        <v>5</v>
      </c>
      <c r="F8" s="736">
        <v>0.15</v>
      </c>
      <c r="G8" s="45"/>
      <c r="K8" s="35"/>
      <c r="L8" s="2"/>
      <c r="M8" s="44" t="s">
        <v>81</v>
      </c>
      <c r="N8" s="36"/>
    </row>
    <row r="9" spans="1:14" hidden="1" x14ac:dyDescent="0.25">
      <c r="A9" s="665" t="s">
        <v>11</v>
      </c>
      <c r="B9" s="666"/>
      <c r="C9" s="666"/>
      <c r="D9" s="666"/>
      <c r="E9" s="741"/>
      <c r="F9" s="737"/>
      <c r="G9" s="45"/>
      <c r="K9" s="35"/>
      <c r="L9" s="4"/>
      <c r="M9" s="44" t="s">
        <v>93</v>
      </c>
      <c r="N9" s="36"/>
    </row>
    <row r="10" spans="1:14" ht="15" hidden="1" customHeight="1" x14ac:dyDescent="0.25">
      <c r="A10" s="665" t="s">
        <v>12</v>
      </c>
      <c r="B10" s="666"/>
      <c r="C10" s="666"/>
      <c r="D10" s="666"/>
      <c r="E10" s="740">
        <v>8</v>
      </c>
      <c r="F10" s="736">
        <v>0.1</v>
      </c>
      <c r="G10" s="45"/>
      <c r="K10" s="35"/>
      <c r="L10" s="43"/>
      <c r="M10" s="44" t="s">
        <v>82</v>
      </c>
      <c r="N10" s="36"/>
    </row>
    <row r="11" spans="1:14" ht="15.75" thickBot="1" x14ac:dyDescent="0.3">
      <c r="A11" s="665" t="s">
        <v>13</v>
      </c>
      <c r="B11" s="666"/>
      <c r="C11" s="666"/>
      <c r="D11" s="666"/>
      <c r="E11" s="741"/>
      <c r="F11" s="737"/>
      <c r="G11" s="45"/>
      <c r="K11" s="37"/>
      <c r="L11" s="38"/>
      <c r="M11" s="38"/>
      <c r="N11" s="39"/>
    </row>
    <row r="12" spans="1:14" ht="15" customHeight="1" x14ac:dyDescent="0.25">
      <c r="A12" s="665" t="s">
        <v>14</v>
      </c>
      <c r="B12" s="666"/>
      <c r="C12" s="666"/>
      <c r="D12" s="666"/>
      <c r="E12" s="29">
        <v>10</v>
      </c>
      <c r="F12" s="47">
        <v>0.1</v>
      </c>
      <c r="G12" s="45"/>
    </row>
    <row r="13" spans="1:14" hidden="1" x14ac:dyDescent="0.25">
      <c r="A13" s="665" t="s">
        <v>15</v>
      </c>
      <c r="B13" s="666"/>
      <c r="C13" s="666"/>
      <c r="D13" s="666"/>
      <c r="E13" s="740">
        <v>12</v>
      </c>
      <c r="F13" s="736">
        <v>0.05</v>
      </c>
      <c r="G13" s="45"/>
    </row>
    <row r="14" spans="1:14" hidden="1" x14ac:dyDescent="0.25">
      <c r="A14" s="665" t="s">
        <v>16</v>
      </c>
      <c r="B14" s="666"/>
      <c r="C14" s="666"/>
      <c r="D14" s="666"/>
      <c r="E14" s="741"/>
      <c r="F14" s="737"/>
      <c r="G14" s="45"/>
    </row>
    <row r="15" spans="1:14" x14ac:dyDescent="0.25">
      <c r="A15" s="48"/>
      <c r="B15" s="48"/>
      <c r="C15" s="48"/>
      <c r="D15" s="48"/>
      <c r="E15" s="28"/>
      <c r="F15" s="49"/>
      <c r="G15" s="50"/>
    </row>
    <row r="16" spans="1:14" x14ac:dyDescent="0.25">
      <c r="A16" s="27" t="s">
        <v>686</v>
      </c>
      <c r="B16" s="27" t="s">
        <v>133</v>
      </c>
    </row>
    <row r="17" spans="1:8" s="20" customFormat="1" ht="15" customHeight="1" x14ac:dyDescent="0.25">
      <c r="A17" s="766" t="s">
        <v>125</v>
      </c>
      <c r="B17" s="767"/>
      <c r="C17" s="768"/>
      <c r="E17" s="738" t="s">
        <v>126</v>
      </c>
      <c r="F17" s="738" t="s">
        <v>735</v>
      </c>
      <c r="G17" s="480"/>
    </row>
    <row r="18" spans="1:8" s="20" customFormat="1" ht="15" customHeight="1" x14ac:dyDescent="0.25">
      <c r="A18" s="769"/>
      <c r="B18" s="770"/>
      <c r="C18" s="771"/>
      <c r="E18" s="739"/>
      <c r="F18" s="739"/>
      <c r="G18" s="480"/>
    </row>
    <row r="19" spans="1:8" ht="15" customHeight="1" x14ac:dyDescent="0.25">
      <c r="A19" s="51">
        <v>0</v>
      </c>
      <c r="B19" s="52" t="s">
        <v>123</v>
      </c>
      <c r="C19" s="53">
        <v>1</v>
      </c>
      <c r="D19" s="20"/>
      <c r="E19" s="54">
        <f t="shared" ref="E19:E27" si="0">(1-$F$10)*($E$10-C19+1)/36/12</f>
        <v>1.6666666666666666E-2</v>
      </c>
      <c r="F19" s="54">
        <f t="shared" ref="F19:F29" si="1">(1-$F$12)*($E$12-C19+1)/55/12</f>
        <v>1.3636363636363636E-2</v>
      </c>
      <c r="G19" s="480"/>
      <c r="H19" s="20"/>
    </row>
    <row r="20" spans="1:8" ht="15" customHeight="1" x14ac:dyDescent="0.25">
      <c r="A20" s="51">
        <v>1</v>
      </c>
      <c r="B20" s="52" t="s">
        <v>123</v>
      </c>
      <c r="C20" s="53">
        <v>2</v>
      </c>
      <c r="D20" s="20"/>
      <c r="E20" s="54">
        <f t="shared" si="0"/>
        <v>1.4583333333333332E-2</v>
      </c>
      <c r="F20" s="54">
        <f t="shared" si="1"/>
        <v>1.2272727272727274E-2</v>
      </c>
      <c r="G20" s="480"/>
      <c r="H20" s="20"/>
    </row>
    <row r="21" spans="1:8" ht="15" customHeight="1" x14ac:dyDescent="0.25">
      <c r="A21" s="51">
        <v>2</v>
      </c>
      <c r="B21" s="52" t="s">
        <v>123</v>
      </c>
      <c r="C21" s="53">
        <v>3</v>
      </c>
      <c r="D21" s="20"/>
      <c r="E21" s="54">
        <f t="shared" si="0"/>
        <v>1.2500000000000002E-2</v>
      </c>
      <c r="F21" s="54">
        <f t="shared" si="1"/>
        <v>1.090909090909091E-2</v>
      </c>
      <c r="G21" s="480"/>
      <c r="H21" s="20"/>
    </row>
    <row r="22" spans="1:8" ht="15" customHeight="1" x14ac:dyDescent="0.25">
      <c r="A22" s="51">
        <v>3</v>
      </c>
      <c r="B22" s="52" t="s">
        <v>123</v>
      </c>
      <c r="C22" s="53">
        <v>4</v>
      </c>
      <c r="D22" s="20"/>
      <c r="E22" s="54">
        <f t="shared" si="0"/>
        <v>1.0416666666666666E-2</v>
      </c>
      <c r="F22" s="54">
        <f t="shared" si="1"/>
        <v>9.5454545454545462E-3</v>
      </c>
      <c r="G22" s="480"/>
      <c r="H22" s="20"/>
    </row>
    <row r="23" spans="1:8" ht="15" customHeight="1" x14ac:dyDescent="0.25">
      <c r="A23" s="51">
        <v>4</v>
      </c>
      <c r="B23" s="52" t="s">
        <v>123</v>
      </c>
      <c r="C23" s="53">
        <v>5</v>
      </c>
      <c r="D23" s="20"/>
      <c r="E23" s="54">
        <f t="shared" si="0"/>
        <v>8.3333333333333332E-3</v>
      </c>
      <c r="F23" s="54">
        <f t="shared" si="1"/>
        <v>8.1818181818181825E-3</v>
      </c>
      <c r="G23" s="480"/>
      <c r="H23" s="20"/>
    </row>
    <row r="24" spans="1:8" ht="15" customHeight="1" x14ac:dyDescent="0.25">
      <c r="A24" s="51">
        <v>5</v>
      </c>
      <c r="B24" s="52" t="s">
        <v>123</v>
      </c>
      <c r="C24" s="53">
        <v>6</v>
      </c>
      <c r="D24" s="20"/>
      <c r="E24" s="54">
        <f t="shared" si="0"/>
        <v>6.2500000000000012E-3</v>
      </c>
      <c r="F24" s="54">
        <f t="shared" si="1"/>
        <v>6.8181818181818179E-3</v>
      </c>
      <c r="G24" s="480"/>
      <c r="H24" s="20"/>
    </row>
    <row r="25" spans="1:8" ht="15" customHeight="1" x14ac:dyDescent="0.25">
      <c r="A25" s="51">
        <v>6</v>
      </c>
      <c r="B25" s="52" t="s">
        <v>123</v>
      </c>
      <c r="C25" s="53">
        <v>7</v>
      </c>
      <c r="D25" s="20"/>
      <c r="E25" s="54">
        <f t="shared" si="0"/>
        <v>4.1666666666666666E-3</v>
      </c>
      <c r="F25" s="54">
        <f t="shared" si="1"/>
        <v>5.454545454545455E-3</v>
      </c>
      <c r="G25" s="480"/>
      <c r="H25" s="20"/>
    </row>
    <row r="26" spans="1:8" ht="15" customHeight="1" x14ac:dyDescent="0.25">
      <c r="A26" s="51">
        <v>7</v>
      </c>
      <c r="B26" s="52" t="s">
        <v>123</v>
      </c>
      <c r="C26" s="53">
        <v>8</v>
      </c>
      <c r="D26" s="20"/>
      <c r="E26" s="54">
        <f t="shared" si="0"/>
        <v>2.0833333333333333E-3</v>
      </c>
      <c r="F26" s="54">
        <f t="shared" si="1"/>
        <v>4.0909090909090912E-3</v>
      </c>
      <c r="G26" s="480"/>
      <c r="H26" s="20"/>
    </row>
    <row r="27" spans="1:8" ht="15" customHeight="1" x14ac:dyDescent="0.25">
      <c r="A27" s="51">
        <v>8</v>
      </c>
      <c r="B27" s="52" t="s">
        <v>123</v>
      </c>
      <c r="C27" s="53">
        <v>9</v>
      </c>
      <c r="D27" s="20"/>
      <c r="E27" s="54">
        <f t="shared" si="0"/>
        <v>0</v>
      </c>
      <c r="F27" s="54">
        <f t="shared" si="1"/>
        <v>2.7272727272727275E-3</v>
      </c>
      <c r="G27" s="480"/>
      <c r="H27" s="20"/>
    </row>
    <row r="28" spans="1:8" ht="15" customHeight="1" x14ac:dyDescent="0.25">
      <c r="A28" s="51">
        <v>9</v>
      </c>
      <c r="B28" s="52" t="s">
        <v>123</v>
      </c>
      <c r="C28" s="53">
        <v>10</v>
      </c>
      <c r="D28" s="20"/>
      <c r="E28" s="54"/>
      <c r="F28" s="54">
        <f t="shared" si="1"/>
        <v>1.3636363636363637E-3</v>
      </c>
      <c r="G28" s="480"/>
      <c r="H28" s="20"/>
    </row>
    <row r="29" spans="1:8" ht="15" customHeight="1" x14ac:dyDescent="0.25">
      <c r="A29" s="51">
        <v>10</v>
      </c>
      <c r="B29" s="52" t="s">
        <v>123</v>
      </c>
      <c r="C29" s="53">
        <v>11</v>
      </c>
      <c r="D29" s="20"/>
      <c r="E29" s="54"/>
      <c r="F29" s="54">
        <f t="shared" si="1"/>
        <v>0</v>
      </c>
      <c r="G29" s="480"/>
      <c r="H29" s="20"/>
    </row>
    <row r="30" spans="1:8" ht="15" customHeight="1" x14ac:dyDescent="0.25">
      <c r="A30" s="51">
        <v>11</v>
      </c>
      <c r="B30" s="52" t="s">
        <v>123</v>
      </c>
      <c r="C30" s="53">
        <v>12</v>
      </c>
      <c r="D30" s="20"/>
      <c r="E30" s="54"/>
      <c r="F30" s="54"/>
      <c r="G30" s="480"/>
      <c r="H30" s="20"/>
    </row>
    <row r="31" spans="1:8" ht="15" customHeight="1" x14ac:dyDescent="0.25">
      <c r="A31" s="51"/>
      <c r="B31" s="52" t="s">
        <v>124</v>
      </c>
      <c r="C31" s="53">
        <v>12</v>
      </c>
      <c r="D31" s="20"/>
      <c r="E31" s="54"/>
      <c r="F31" s="54"/>
      <c r="G31" s="480"/>
      <c r="H31" s="20"/>
    </row>
    <row r="32" spans="1:8" ht="15" customHeight="1" x14ac:dyDescent="0.25">
      <c r="A32" s="27"/>
      <c r="B32" s="27"/>
      <c r="C32" s="27"/>
      <c r="D32" s="27"/>
    </row>
    <row r="33" spans="1:12" ht="15.75" thickBot="1" x14ac:dyDescent="0.3">
      <c r="A33" s="27" t="s">
        <v>687</v>
      </c>
      <c r="B33" s="27" t="s">
        <v>128</v>
      </c>
    </row>
    <row r="34" spans="1:12" x14ac:dyDescent="0.25">
      <c r="A34" s="732" t="s">
        <v>7</v>
      </c>
      <c r="B34" s="733"/>
      <c r="C34" s="733"/>
      <c r="D34" s="733"/>
      <c r="E34" s="718" t="s">
        <v>119</v>
      </c>
      <c r="F34" s="720" t="s">
        <v>5</v>
      </c>
      <c r="G34" s="721"/>
      <c r="H34" s="720" t="s">
        <v>6</v>
      </c>
      <c r="I34" s="731"/>
    </row>
    <row r="35" spans="1:12" ht="15.75" thickBot="1" x14ac:dyDescent="0.3">
      <c r="A35" s="734"/>
      <c r="B35" s="735"/>
      <c r="C35" s="735"/>
      <c r="D35" s="735"/>
      <c r="E35" s="719"/>
      <c r="F35" s="145" t="s">
        <v>8</v>
      </c>
      <c r="G35" s="145" t="s">
        <v>9</v>
      </c>
      <c r="H35" s="145" t="s">
        <v>8</v>
      </c>
      <c r="I35" s="161" t="s">
        <v>9</v>
      </c>
    </row>
    <row r="36" spans="1:12" x14ac:dyDescent="0.25">
      <c r="A36" s="722" t="s">
        <v>127</v>
      </c>
      <c r="B36" s="723"/>
      <c r="C36" s="723"/>
      <c r="D36" s="724"/>
      <c r="E36" s="146">
        <v>0</v>
      </c>
      <c r="F36" s="149">
        <f>'1.3 Frota Total'!E31</f>
        <v>0</v>
      </c>
      <c r="G36" s="149">
        <f>'1.3 Frota Total'!F31</f>
        <v>0</v>
      </c>
      <c r="H36" s="149">
        <f>'1.3 Frota Total'!G31</f>
        <v>0</v>
      </c>
      <c r="I36" s="162">
        <f>'1.3 Frota Total'!H31</f>
        <v>0</v>
      </c>
      <c r="L36" s="61"/>
    </row>
    <row r="37" spans="1:12" x14ac:dyDescent="0.25">
      <c r="A37" s="725"/>
      <c r="B37" s="726"/>
      <c r="C37" s="726"/>
      <c r="D37" s="727"/>
      <c r="E37" s="147">
        <v>1</v>
      </c>
      <c r="F37" s="151">
        <f>'1.3 Frota Total'!E32</f>
        <v>0</v>
      </c>
      <c r="G37" s="151">
        <f>'1.3 Frota Total'!F32</f>
        <v>0</v>
      </c>
      <c r="H37" s="151">
        <f>'1.3 Frota Total'!G32</f>
        <v>0</v>
      </c>
      <c r="I37" s="163">
        <f>'1.3 Frota Total'!H32</f>
        <v>0</v>
      </c>
    </row>
    <row r="38" spans="1:12" x14ac:dyDescent="0.25">
      <c r="A38" s="725"/>
      <c r="B38" s="726"/>
      <c r="C38" s="726"/>
      <c r="D38" s="727"/>
      <c r="E38" s="147">
        <v>2</v>
      </c>
      <c r="F38" s="151">
        <f>'1.3 Frota Total'!E33</f>
        <v>0</v>
      </c>
      <c r="G38" s="151">
        <f>'1.3 Frota Total'!F33</f>
        <v>0</v>
      </c>
      <c r="H38" s="151">
        <f>'1.3 Frota Total'!G33</f>
        <v>0</v>
      </c>
      <c r="I38" s="163">
        <f>'1.3 Frota Total'!H33</f>
        <v>0</v>
      </c>
    </row>
    <row r="39" spans="1:12" x14ac:dyDescent="0.25">
      <c r="A39" s="725"/>
      <c r="B39" s="726"/>
      <c r="C39" s="726"/>
      <c r="D39" s="727"/>
      <c r="E39" s="147">
        <v>3</v>
      </c>
      <c r="F39" s="151">
        <f>'1.3 Frota Total'!E34</f>
        <v>0</v>
      </c>
      <c r="G39" s="151">
        <f>'1.3 Frota Total'!F34</f>
        <v>0</v>
      </c>
      <c r="H39" s="151">
        <f>'1.3 Frota Total'!G34</f>
        <v>0</v>
      </c>
      <c r="I39" s="163">
        <f>'1.3 Frota Total'!H34</f>
        <v>0</v>
      </c>
    </row>
    <row r="40" spans="1:12" x14ac:dyDescent="0.25">
      <c r="A40" s="725"/>
      <c r="B40" s="726"/>
      <c r="C40" s="726"/>
      <c r="D40" s="727"/>
      <c r="E40" s="147">
        <v>4</v>
      </c>
      <c r="F40" s="151">
        <f>'1.3 Frota Total'!E35</f>
        <v>0</v>
      </c>
      <c r="G40" s="151">
        <f>'1.3 Frota Total'!F35</f>
        <v>0</v>
      </c>
      <c r="H40" s="151">
        <f>'1.3 Frota Total'!G35</f>
        <v>0</v>
      </c>
      <c r="I40" s="163">
        <f>'1.3 Frota Total'!H35</f>
        <v>0</v>
      </c>
    </row>
    <row r="41" spans="1:12" ht="15.75" thickBot="1" x14ac:dyDescent="0.3">
      <c r="A41" s="728"/>
      <c r="B41" s="729"/>
      <c r="C41" s="729"/>
      <c r="D41" s="730"/>
      <c r="E41" s="148">
        <v>5</v>
      </c>
      <c r="F41" s="153">
        <f>'1.3 Frota Total'!E36</f>
        <v>0</v>
      </c>
      <c r="G41" s="153">
        <f>'1.3 Frota Total'!F36</f>
        <v>0</v>
      </c>
      <c r="H41" s="153">
        <f>'1.3 Frota Total'!G36</f>
        <v>0</v>
      </c>
      <c r="I41" s="164">
        <f>'1.3 Frota Total'!H36</f>
        <v>0</v>
      </c>
    </row>
    <row r="42" spans="1:12" x14ac:dyDescent="0.25">
      <c r="A42" s="722" t="s">
        <v>11</v>
      </c>
      <c r="B42" s="723"/>
      <c r="C42" s="723"/>
      <c r="D42" s="724"/>
      <c r="E42" s="146">
        <v>0</v>
      </c>
      <c r="F42" s="149">
        <f>'1.3 Frota Total'!E37</f>
        <v>0</v>
      </c>
      <c r="G42" s="149">
        <f>'1.3 Frota Total'!F37</f>
        <v>0</v>
      </c>
      <c r="H42" s="149">
        <f>'1.3 Frota Total'!G37</f>
        <v>0</v>
      </c>
      <c r="I42" s="162">
        <f>'1.3 Frota Total'!H37</f>
        <v>0</v>
      </c>
    </row>
    <row r="43" spans="1:12" x14ac:dyDescent="0.25">
      <c r="A43" s="725"/>
      <c r="B43" s="726"/>
      <c r="C43" s="726"/>
      <c r="D43" s="727"/>
      <c r="E43" s="147">
        <v>1</v>
      </c>
      <c r="F43" s="151">
        <f>'1.3 Frota Total'!E38</f>
        <v>0</v>
      </c>
      <c r="G43" s="151">
        <f>'1.3 Frota Total'!F38</f>
        <v>0</v>
      </c>
      <c r="H43" s="151">
        <f>'1.3 Frota Total'!G38</f>
        <v>0</v>
      </c>
      <c r="I43" s="163">
        <f>'1.3 Frota Total'!H38</f>
        <v>0</v>
      </c>
    </row>
    <row r="44" spans="1:12" x14ac:dyDescent="0.25">
      <c r="A44" s="725"/>
      <c r="B44" s="726"/>
      <c r="C44" s="726"/>
      <c r="D44" s="727"/>
      <c r="E44" s="147">
        <v>2</v>
      </c>
      <c r="F44" s="151">
        <f>'1.3 Frota Total'!E39</f>
        <v>0</v>
      </c>
      <c r="G44" s="151">
        <f>'1.3 Frota Total'!F39</f>
        <v>0</v>
      </c>
      <c r="H44" s="151">
        <f>'1.3 Frota Total'!G39</f>
        <v>0</v>
      </c>
      <c r="I44" s="163">
        <f>'1.3 Frota Total'!H39</f>
        <v>0</v>
      </c>
    </row>
    <row r="45" spans="1:12" x14ac:dyDescent="0.25">
      <c r="A45" s="725"/>
      <c r="B45" s="726"/>
      <c r="C45" s="726"/>
      <c r="D45" s="727"/>
      <c r="E45" s="147">
        <v>3</v>
      </c>
      <c r="F45" s="151">
        <f>'1.3 Frota Total'!E40</f>
        <v>0</v>
      </c>
      <c r="G45" s="151">
        <f>'1.3 Frota Total'!F40</f>
        <v>0</v>
      </c>
      <c r="H45" s="151">
        <f>'1.3 Frota Total'!G40</f>
        <v>0</v>
      </c>
      <c r="I45" s="163">
        <f>'1.3 Frota Total'!H40</f>
        <v>0</v>
      </c>
    </row>
    <row r="46" spans="1:12" x14ac:dyDescent="0.25">
      <c r="A46" s="725"/>
      <c r="B46" s="726"/>
      <c r="C46" s="726"/>
      <c r="D46" s="727"/>
      <c r="E46" s="147">
        <v>4</v>
      </c>
      <c r="F46" s="151">
        <f>'1.3 Frota Total'!E41</f>
        <v>0</v>
      </c>
      <c r="G46" s="151">
        <f>'1.3 Frota Total'!F41</f>
        <v>0</v>
      </c>
      <c r="H46" s="151">
        <f>'1.3 Frota Total'!G41</f>
        <v>0</v>
      </c>
      <c r="I46" s="163">
        <f>'1.3 Frota Total'!H41</f>
        <v>0</v>
      </c>
    </row>
    <row r="47" spans="1:12" ht="15.75" thickBot="1" x14ac:dyDescent="0.3">
      <c r="A47" s="725"/>
      <c r="B47" s="726"/>
      <c r="C47" s="726"/>
      <c r="D47" s="727"/>
      <c r="E47" s="311">
        <v>5</v>
      </c>
      <c r="F47" s="312">
        <f>'1.3 Frota Total'!E42</f>
        <v>0</v>
      </c>
      <c r="G47" s="312">
        <f>'1.3 Frota Total'!F42</f>
        <v>0</v>
      </c>
      <c r="H47" s="312">
        <f>'1.3 Frota Total'!G42</f>
        <v>0</v>
      </c>
      <c r="I47" s="315">
        <f>'1.3 Frota Total'!H42</f>
        <v>0</v>
      </c>
    </row>
    <row r="48" spans="1:12" x14ac:dyDescent="0.25">
      <c r="A48" s="743" t="s">
        <v>12</v>
      </c>
      <c r="B48" s="744"/>
      <c r="C48" s="744"/>
      <c r="D48" s="744"/>
      <c r="E48" s="146">
        <v>0</v>
      </c>
      <c r="F48" s="149">
        <f>'1.3 Frota Total'!E43</f>
        <v>0</v>
      </c>
      <c r="G48" s="149">
        <f>'1.3 Frota Total'!F43</f>
        <v>0</v>
      </c>
      <c r="H48" s="149">
        <f>'1.3 Frota Total'!G43</f>
        <v>0</v>
      </c>
      <c r="I48" s="162">
        <f>'1.3 Frota Total'!H43</f>
        <v>0</v>
      </c>
    </row>
    <row r="49" spans="1:12" x14ac:dyDescent="0.25">
      <c r="A49" s="745"/>
      <c r="B49" s="746"/>
      <c r="C49" s="746"/>
      <c r="D49" s="746"/>
      <c r="E49" s="147">
        <v>1</v>
      </c>
      <c r="F49" s="151">
        <f>'1.3 Frota Total'!E44</f>
        <v>0</v>
      </c>
      <c r="G49" s="151">
        <f>'1.3 Frota Total'!F44</f>
        <v>0</v>
      </c>
      <c r="H49" s="151">
        <f>'1.3 Frota Total'!G44</f>
        <v>0</v>
      </c>
      <c r="I49" s="163">
        <f>'1.3 Frota Total'!H44</f>
        <v>0</v>
      </c>
    </row>
    <row r="50" spans="1:12" x14ac:dyDescent="0.25">
      <c r="A50" s="745"/>
      <c r="B50" s="746"/>
      <c r="C50" s="746"/>
      <c r="D50" s="746"/>
      <c r="E50" s="147">
        <v>2</v>
      </c>
      <c r="F50" s="151">
        <f>'1.3 Frota Total'!E45</f>
        <v>0</v>
      </c>
      <c r="G50" s="151">
        <f>'1.3 Frota Total'!F45</f>
        <v>0</v>
      </c>
      <c r="H50" s="151">
        <f>'1.3 Frota Total'!G45</f>
        <v>0</v>
      </c>
      <c r="I50" s="163">
        <f>'1.3 Frota Total'!H45</f>
        <v>0</v>
      </c>
    </row>
    <row r="51" spans="1:12" x14ac:dyDescent="0.25">
      <c r="A51" s="745"/>
      <c r="B51" s="746"/>
      <c r="C51" s="746"/>
      <c r="D51" s="746"/>
      <c r="E51" s="147">
        <v>3</v>
      </c>
      <c r="F51" s="151">
        <f>'1.3 Frota Total'!E46</f>
        <v>0</v>
      </c>
      <c r="G51" s="151">
        <f>'1.3 Frota Total'!F46</f>
        <v>0</v>
      </c>
      <c r="H51" s="151">
        <f>'1.3 Frota Total'!G46</f>
        <v>0</v>
      </c>
      <c r="I51" s="163">
        <f>'1.3 Frota Total'!H46</f>
        <v>0</v>
      </c>
    </row>
    <row r="52" spans="1:12" x14ac:dyDescent="0.25">
      <c r="A52" s="745"/>
      <c r="B52" s="746"/>
      <c r="C52" s="746"/>
      <c r="D52" s="746"/>
      <c r="E52" s="147">
        <v>4</v>
      </c>
      <c r="F52" s="151">
        <f>'1.3 Frota Total'!E47</f>
        <v>0</v>
      </c>
      <c r="G52" s="151">
        <f>'1.3 Frota Total'!F47</f>
        <v>0</v>
      </c>
      <c r="H52" s="151">
        <f>'1.3 Frota Total'!G47</f>
        <v>0</v>
      </c>
      <c r="I52" s="163">
        <f>'1.3 Frota Total'!H47</f>
        <v>0</v>
      </c>
    </row>
    <row r="53" spans="1:12" x14ac:dyDescent="0.25">
      <c r="A53" s="745"/>
      <c r="B53" s="746"/>
      <c r="C53" s="746"/>
      <c r="D53" s="746"/>
      <c r="E53" s="147">
        <v>5</v>
      </c>
      <c r="F53" s="151">
        <f>'1.3 Frota Total'!E48</f>
        <v>0</v>
      </c>
      <c r="G53" s="151">
        <f>'1.3 Frota Total'!F48</f>
        <v>0</v>
      </c>
      <c r="H53" s="151">
        <f>'1.3 Frota Total'!G48</f>
        <v>0</v>
      </c>
      <c r="I53" s="163">
        <f>'1.3 Frota Total'!H48</f>
        <v>0</v>
      </c>
    </row>
    <row r="54" spans="1:12" x14ac:dyDescent="0.25">
      <c r="A54" s="745"/>
      <c r="B54" s="746"/>
      <c r="C54" s="746"/>
      <c r="D54" s="746"/>
      <c r="E54" s="147">
        <v>6</v>
      </c>
      <c r="F54" s="151">
        <f>'1.3 Frota Total'!E49</f>
        <v>0</v>
      </c>
      <c r="G54" s="151">
        <f>'1.3 Frota Total'!F49</f>
        <v>0</v>
      </c>
      <c r="H54" s="151">
        <f>'1.3 Frota Total'!G49</f>
        <v>0</v>
      </c>
      <c r="I54" s="163">
        <f>'1.3 Frota Total'!H49</f>
        <v>0</v>
      </c>
    </row>
    <row r="55" spans="1:12" x14ac:dyDescent="0.25">
      <c r="A55" s="745"/>
      <c r="B55" s="746"/>
      <c r="C55" s="746"/>
      <c r="D55" s="746"/>
      <c r="E55" s="147">
        <v>7</v>
      </c>
      <c r="F55" s="151">
        <f>'1.3 Frota Total'!E50</f>
        <v>0</v>
      </c>
      <c r="G55" s="151">
        <f>'1.3 Frota Total'!F50</f>
        <v>0</v>
      </c>
      <c r="H55" s="151">
        <f>'1.3 Frota Total'!G50</f>
        <v>0</v>
      </c>
      <c r="I55" s="163">
        <f>'1.3 Frota Total'!H50</f>
        <v>0</v>
      </c>
    </row>
    <row r="56" spans="1:12" ht="15.75" thickBot="1" x14ac:dyDescent="0.3">
      <c r="A56" s="747"/>
      <c r="B56" s="748"/>
      <c r="C56" s="748"/>
      <c r="D56" s="748"/>
      <c r="E56" s="311">
        <v>8</v>
      </c>
      <c r="F56" s="312">
        <f>'1.3 Frota Total'!E51</f>
        <v>0</v>
      </c>
      <c r="G56" s="312">
        <f>'1.3 Frota Total'!F51</f>
        <v>0</v>
      </c>
      <c r="H56" s="312">
        <f>'1.3 Frota Total'!G51</f>
        <v>0</v>
      </c>
      <c r="I56" s="315">
        <f>'1.3 Frota Total'!H51</f>
        <v>0</v>
      </c>
    </row>
    <row r="57" spans="1:12" x14ac:dyDescent="0.25">
      <c r="A57" s="743" t="s">
        <v>13</v>
      </c>
      <c r="B57" s="744"/>
      <c r="C57" s="744"/>
      <c r="D57" s="744"/>
      <c r="E57" s="146">
        <v>0</v>
      </c>
      <c r="F57" s="149">
        <f>'1.3 Frota Total'!E52</f>
        <v>0</v>
      </c>
      <c r="G57" s="149">
        <f>'1.3 Frota Total'!F52</f>
        <v>0</v>
      </c>
      <c r="H57" s="149">
        <f>'1.3 Frota Total'!G52</f>
        <v>0</v>
      </c>
      <c r="I57" s="162">
        <f>'1.3 Frota Total'!H52</f>
        <v>0</v>
      </c>
      <c r="L57" s="61"/>
    </row>
    <row r="58" spans="1:12" x14ac:dyDescent="0.25">
      <c r="A58" s="745"/>
      <c r="B58" s="746"/>
      <c r="C58" s="746"/>
      <c r="D58" s="746"/>
      <c r="E58" s="147">
        <v>1</v>
      </c>
      <c r="F58" s="151">
        <f>'1.3 Frota Total'!E53</f>
        <v>0</v>
      </c>
      <c r="G58" s="151">
        <f>'1.3 Frota Total'!F53</f>
        <v>0</v>
      </c>
      <c r="H58" s="151">
        <f>'1.3 Frota Total'!G53</f>
        <v>0</v>
      </c>
      <c r="I58" s="163">
        <f>'1.3 Frota Total'!H53</f>
        <v>0</v>
      </c>
    </row>
    <row r="59" spans="1:12" x14ac:dyDescent="0.25">
      <c r="A59" s="745"/>
      <c r="B59" s="746"/>
      <c r="C59" s="746"/>
      <c r="D59" s="746"/>
      <c r="E59" s="147">
        <v>2</v>
      </c>
      <c r="F59" s="151">
        <v>0</v>
      </c>
      <c r="G59" s="151">
        <f>'1.3 Frota Total'!F54</f>
        <v>0</v>
      </c>
      <c r="H59" s="151">
        <v>0</v>
      </c>
      <c r="I59" s="163">
        <f>'1.3 Frota Total'!H54</f>
        <v>0</v>
      </c>
    </row>
    <row r="60" spans="1:12" x14ac:dyDescent="0.25">
      <c r="A60" s="745"/>
      <c r="B60" s="746"/>
      <c r="C60" s="746"/>
      <c r="D60" s="746"/>
      <c r="E60" s="147">
        <v>3</v>
      </c>
      <c r="F60" s="151">
        <f>'1.3 Frota Total'!E55</f>
        <v>0</v>
      </c>
      <c r="G60" s="151">
        <f>'1.3 Frota Total'!F55</f>
        <v>0</v>
      </c>
      <c r="H60" s="151">
        <f>'1.3 Frota Total'!G55</f>
        <v>0</v>
      </c>
      <c r="I60" s="163">
        <f>'1.3 Frota Total'!H55</f>
        <v>0</v>
      </c>
    </row>
    <row r="61" spans="1:12" x14ac:dyDescent="0.25">
      <c r="A61" s="745"/>
      <c r="B61" s="746"/>
      <c r="C61" s="746"/>
      <c r="D61" s="746"/>
      <c r="E61" s="147">
        <v>4</v>
      </c>
      <c r="F61" s="151">
        <f>'1.3 Frota Total'!E56</f>
        <v>0</v>
      </c>
      <c r="G61" s="151">
        <f>'1.3 Frota Total'!F56</f>
        <v>0</v>
      </c>
      <c r="H61" s="151">
        <f>'1.3 Frota Total'!G56</f>
        <v>0</v>
      </c>
      <c r="I61" s="163">
        <f>'1.3 Frota Total'!H56</f>
        <v>0</v>
      </c>
    </row>
    <row r="62" spans="1:12" x14ac:dyDescent="0.25">
      <c r="A62" s="745"/>
      <c r="B62" s="746"/>
      <c r="C62" s="746"/>
      <c r="D62" s="746"/>
      <c r="E62" s="147">
        <v>5</v>
      </c>
      <c r="F62" s="515">
        <f>'1.3 Frota Total'!E57</f>
        <v>2</v>
      </c>
      <c r="G62" s="151">
        <f>'1.3 Frota Total'!F57</f>
        <v>0</v>
      </c>
      <c r="H62" s="151">
        <f>'1.3 Frota Total'!G57</f>
        <v>0</v>
      </c>
      <c r="I62" s="163">
        <f>'1.3 Frota Total'!H57</f>
        <v>0</v>
      </c>
    </row>
    <row r="63" spans="1:12" x14ac:dyDescent="0.25">
      <c r="A63" s="745"/>
      <c r="B63" s="746"/>
      <c r="C63" s="746"/>
      <c r="D63" s="746"/>
      <c r="E63" s="147">
        <v>6</v>
      </c>
      <c r="F63" s="515">
        <f>'1.3 Frota Total'!E58</f>
        <v>0</v>
      </c>
      <c r="G63" s="151">
        <f>'1.3 Frota Total'!F58</f>
        <v>0</v>
      </c>
      <c r="H63" s="151">
        <f>'1.3 Frota Total'!G58</f>
        <v>2</v>
      </c>
      <c r="I63" s="163">
        <f>'1.3 Frota Total'!H58</f>
        <v>0</v>
      </c>
    </row>
    <row r="64" spans="1:12" x14ac:dyDescent="0.25">
      <c r="A64" s="745"/>
      <c r="B64" s="746"/>
      <c r="C64" s="746"/>
      <c r="D64" s="746"/>
      <c r="E64" s="147">
        <v>7</v>
      </c>
      <c r="F64" s="515">
        <f>'1.3 Frota Total'!E59</f>
        <v>0</v>
      </c>
      <c r="G64" s="151">
        <f>'1.3 Frota Total'!F59</f>
        <v>0</v>
      </c>
      <c r="H64" s="151">
        <f>'1.3 Frota Total'!G59</f>
        <v>0</v>
      </c>
      <c r="I64" s="163">
        <f>'1.3 Frota Total'!H59</f>
        <v>0</v>
      </c>
    </row>
    <row r="65" spans="1:9" ht="15.75" thickBot="1" x14ac:dyDescent="0.3">
      <c r="A65" s="772"/>
      <c r="B65" s="773"/>
      <c r="C65" s="773"/>
      <c r="D65" s="773"/>
      <c r="E65" s="148">
        <v>8</v>
      </c>
      <c r="F65" s="515">
        <f>'1.3 Frota Total'!E60</f>
        <v>12</v>
      </c>
      <c r="G65" s="153">
        <f>'1.3 Frota Total'!F60</f>
        <v>0</v>
      </c>
      <c r="H65" s="153">
        <f>'1.3 Frota Total'!G60</f>
        <v>0</v>
      </c>
      <c r="I65" s="164">
        <f>'1.3 Frota Total'!H60</f>
        <v>0</v>
      </c>
    </row>
    <row r="66" spans="1:9" x14ac:dyDescent="0.25">
      <c r="A66" s="725" t="s">
        <v>14</v>
      </c>
      <c r="B66" s="726"/>
      <c r="C66" s="726"/>
      <c r="D66" s="727"/>
      <c r="E66" s="310">
        <v>0</v>
      </c>
      <c r="F66" s="313">
        <f>'1.3 Frota Total'!E61</f>
        <v>0</v>
      </c>
      <c r="G66" s="313">
        <f>'1.3 Frota Total'!F61</f>
        <v>0</v>
      </c>
      <c r="H66" s="313">
        <f>'1.3 Frota Total'!G61</f>
        <v>0</v>
      </c>
      <c r="I66" s="316">
        <f>'1.3 Frota Total'!H61</f>
        <v>0</v>
      </c>
    </row>
    <row r="67" spans="1:9" x14ac:dyDescent="0.25">
      <c r="A67" s="725"/>
      <c r="B67" s="726"/>
      <c r="C67" s="726"/>
      <c r="D67" s="727"/>
      <c r="E67" s="147">
        <v>1</v>
      </c>
      <c r="F67" s="151">
        <f>'1.3 Frota Total'!E62</f>
        <v>0</v>
      </c>
      <c r="G67" s="151">
        <f>'1.3 Frota Total'!F62</f>
        <v>0</v>
      </c>
      <c r="H67" s="151">
        <f>'1.3 Frota Total'!G62</f>
        <v>0</v>
      </c>
      <c r="I67" s="163">
        <f>'1.3 Frota Total'!H62</f>
        <v>0</v>
      </c>
    </row>
    <row r="68" spans="1:9" x14ac:dyDescent="0.25">
      <c r="A68" s="725"/>
      <c r="B68" s="726"/>
      <c r="C68" s="726"/>
      <c r="D68" s="727"/>
      <c r="E68" s="147">
        <v>2</v>
      </c>
      <c r="F68" s="151">
        <f>'1.3 Frota Total'!E63</f>
        <v>0</v>
      </c>
      <c r="G68" s="151">
        <f>'1.3 Frota Total'!F63</f>
        <v>0</v>
      </c>
      <c r="H68" s="151">
        <f>'1.3 Frota Total'!G63</f>
        <v>0</v>
      </c>
      <c r="I68" s="163">
        <f>'1.3 Frota Total'!H63</f>
        <v>0</v>
      </c>
    </row>
    <row r="69" spans="1:9" x14ac:dyDescent="0.25">
      <c r="A69" s="725"/>
      <c r="B69" s="726"/>
      <c r="C69" s="726"/>
      <c r="D69" s="727"/>
      <c r="E69" s="147">
        <v>3</v>
      </c>
      <c r="F69" s="151">
        <f>'1.3 Frota Total'!E64</f>
        <v>0</v>
      </c>
      <c r="G69" s="151">
        <f>'1.3 Frota Total'!F64</f>
        <v>0</v>
      </c>
      <c r="H69" s="151">
        <f>'1.3 Frota Total'!G64</f>
        <v>0</v>
      </c>
      <c r="I69" s="163">
        <f>'1.3 Frota Total'!H64</f>
        <v>0</v>
      </c>
    </row>
    <row r="70" spans="1:9" x14ac:dyDescent="0.25">
      <c r="A70" s="725"/>
      <c r="B70" s="726"/>
      <c r="C70" s="726"/>
      <c r="D70" s="727"/>
      <c r="E70" s="147">
        <v>4</v>
      </c>
      <c r="F70" s="151">
        <f>'1.3 Frota Total'!E65</f>
        <v>0</v>
      </c>
      <c r="G70" s="151">
        <f>'1.3 Frota Total'!F65</f>
        <v>0</v>
      </c>
      <c r="H70" s="151">
        <f>'1.3 Frota Total'!G65</f>
        <v>0</v>
      </c>
      <c r="I70" s="163">
        <f>'1.3 Frota Total'!H65</f>
        <v>0</v>
      </c>
    </row>
    <row r="71" spans="1:9" x14ac:dyDescent="0.25">
      <c r="A71" s="725"/>
      <c r="B71" s="726"/>
      <c r="C71" s="726"/>
      <c r="D71" s="727"/>
      <c r="E71" s="147">
        <v>5</v>
      </c>
      <c r="F71" s="151">
        <f>'1.3 Frota Total'!E66</f>
        <v>0</v>
      </c>
      <c r="G71" s="151">
        <f>'1.3 Frota Total'!F66</f>
        <v>0</v>
      </c>
      <c r="H71" s="151">
        <f>'1.3 Frota Total'!G66</f>
        <v>0</v>
      </c>
      <c r="I71" s="163">
        <f>'1.3 Frota Total'!H66</f>
        <v>0</v>
      </c>
    </row>
    <row r="72" spans="1:9" x14ac:dyDescent="0.25">
      <c r="A72" s="725"/>
      <c r="B72" s="726"/>
      <c r="C72" s="726"/>
      <c r="D72" s="727"/>
      <c r="E72" s="147">
        <v>6</v>
      </c>
      <c r="F72" s="151">
        <f>'1.3 Frota Total'!E67</f>
        <v>0</v>
      </c>
      <c r="G72" s="151">
        <f>'1.3 Frota Total'!F67</f>
        <v>0</v>
      </c>
      <c r="H72" s="151">
        <f>'1.3 Frota Total'!G67</f>
        <v>0</v>
      </c>
      <c r="I72" s="163">
        <f>'1.3 Frota Total'!H67</f>
        <v>0</v>
      </c>
    </row>
    <row r="73" spans="1:9" x14ac:dyDescent="0.25">
      <c r="A73" s="725"/>
      <c r="B73" s="726"/>
      <c r="C73" s="726"/>
      <c r="D73" s="727"/>
      <c r="E73" s="147">
        <v>7</v>
      </c>
      <c r="F73" s="151">
        <f>'1.3 Frota Total'!E68</f>
        <v>0</v>
      </c>
      <c r="G73" s="151">
        <f>'1.3 Frota Total'!F68</f>
        <v>0</v>
      </c>
      <c r="H73" s="151">
        <f>'1.3 Frota Total'!G68</f>
        <v>0</v>
      </c>
      <c r="I73" s="163">
        <f>'1.3 Frota Total'!H68</f>
        <v>0</v>
      </c>
    </row>
    <row r="74" spans="1:9" x14ac:dyDescent="0.25">
      <c r="A74" s="725"/>
      <c r="B74" s="726"/>
      <c r="C74" s="726"/>
      <c r="D74" s="727"/>
      <c r="E74" s="147">
        <v>8</v>
      </c>
      <c r="F74" s="151">
        <f>'1.3 Frota Total'!E69</f>
        <v>0</v>
      </c>
      <c r="G74" s="151">
        <f>'1.3 Frota Total'!F69</f>
        <v>0</v>
      </c>
      <c r="H74" s="151">
        <f>'1.3 Frota Total'!G69</f>
        <v>0</v>
      </c>
      <c r="I74" s="163">
        <f>'1.3 Frota Total'!H69</f>
        <v>0</v>
      </c>
    </row>
    <row r="75" spans="1:9" x14ac:dyDescent="0.25">
      <c r="A75" s="725"/>
      <c r="B75" s="726"/>
      <c r="C75" s="726"/>
      <c r="D75" s="727"/>
      <c r="E75" s="147">
        <v>9</v>
      </c>
      <c r="F75" s="151">
        <f>'1.3 Frota Total'!E70</f>
        <v>0</v>
      </c>
      <c r="G75" s="151">
        <f>'1.3 Frota Total'!F70</f>
        <v>0</v>
      </c>
      <c r="H75" s="151">
        <f>'1.3 Frota Total'!G70</f>
        <v>0</v>
      </c>
      <c r="I75" s="163">
        <f>'1.3 Frota Total'!H70</f>
        <v>0</v>
      </c>
    </row>
    <row r="76" spans="1:9" ht="15.75" thickBot="1" x14ac:dyDescent="0.3">
      <c r="A76" s="725"/>
      <c r="B76" s="726"/>
      <c r="C76" s="726"/>
      <c r="D76" s="727"/>
      <c r="E76" s="311">
        <v>10</v>
      </c>
      <c r="F76" s="312">
        <f>'1.3 Frota Total'!E71</f>
        <v>0</v>
      </c>
      <c r="G76" s="312">
        <f>'1.3 Frota Total'!F71</f>
        <v>0</v>
      </c>
      <c r="H76" s="312">
        <f>'1.3 Frota Total'!G71</f>
        <v>0</v>
      </c>
      <c r="I76" s="315">
        <f>'1.3 Frota Total'!H71</f>
        <v>0</v>
      </c>
    </row>
    <row r="77" spans="1:9" x14ac:dyDescent="0.25">
      <c r="A77" s="743" t="s">
        <v>15</v>
      </c>
      <c r="B77" s="744"/>
      <c r="C77" s="744"/>
      <c r="D77" s="744"/>
      <c r="E77" s="146">
        <v>0</v>
      </c>
      <c r="F77" s="149">
        <f>'1.3 Frota Total'!E72</f>
        <v>0</v>
      </c>
      <c r="G77" s="149">
        <f>'1.3 Frota Total'!F72</f>
        <v>0</v>
      </c>
      <c r="H77" s="149">
        <f>'1.3 Frota Total'!G72</f>
        <v>0</v>
      </c>
      <c r="I77" s="162">
        <f>'1.3 Frota Total'!H72</f>
        <v>0</v>
      </c>
    </row>
    <row r="78" spans="1:9" x14ac:dyDescent="0.25">
      <c r="A78" s="745"/>
      <c r="B78" s="746"/>
      <c r="C78" s="746"/>
      <c r="D78" s="746"/>
      <c r="E78" s="147">
        <v>1</v>
      </c>
      <c r="F78" s="151">
        <f>'1.3 Frota Total'!E73</f>
        <v>0</v>
      </c>
      <c r="G78" s="151">
        <f>'1.3 Frota Total'!F73</f>
        <v>0</v>
      </c>
      <c r="H78" s="151">
        <f>'1.3 Frota Total'!G73</f>
        <v>0</v>
      </c>
      <c r="I78" s="163">
        <f>'1.3 Frota Total'!H73</f>
        <v>0</v>
      </c>
    </row>
    <row r="79" spans="1:9" x14ac:dyDescent="0.25">
      <c r="A79" s="745"/>
      <c r="B79" s="746"/>
      <c r="C79" s="746"/>
      <c r="D79" s="746"/>
      <c r="E79" s="147">
        <v>2</v>
      </c>
      <c r="F79" s="151">
        <f>'1.3 Frota Total'!E74</f>
        <v>0</v>
      </c>
      <c r="G79" s="151">
        <f>'1.3 Frota Total'!F74</f>
        <v>0</v>
      </c>
      <c r="H79" s="151">
        <f>'1.3 Frota Total'!G74</f>
        <v>0</v>
      </c>
      <c r="I79" s="163">
        <f>'1.3 Frota Total'!H74</f>
        <v>0</v>
      </c>
    </row>
    <row r="80" spans="1:9" x14ac:dyDescent="0.25">
      <c r="A80" s="745"/>
      <c r="B80" s="746"/>
      <c r="C80" s="746"/>
      <c r="D80" s="746"/>
      <c r="E80" s="147">
        <v>3</v>
      </c>
      <c r="F80" s="151">
        <f>'1.3 Frota Total'!E75</f>
        <v>0</v>
      </c>
      <c r="G80" s="151">
        <f>'1.3 Frota Total'!F75</f>
        <v>0</v>
      </c>
      <c r="H80" s="151">
        <f>'1.3 Frota Total'!G75</f>
        <v>0</v>
      </c>
      <c r="I80" s="163">
        <f>'1.3 Frota Total'!H75</f>
        <v>0</v>
      </c>
    </row>
    <row r="81" spans="1:9" x14ac:dyDescent="0.25">
      <c r="A81" s="745"/>
      <c r="B81" s="746"/>
      <c r="C81" s="746"/>
      <c r="D81" s="746"/>
      <c r="E81" s="147">
        <v>4</v>
      </c>
      <c r="F81" s="151">
        <f>'1.3 Frota Total'!E76</f>
        <v>0</v>
      </c>
      <c r="G81" s="151">
        <f>'1.3 Frota Total'!F76</f>
        <v>0</v>
      </c>
      <c r="H81" s="151">
        <f>'1.3 Frota Total'!G76</f>
        <v>0</v>
      </c>
      <c r="I81" s="163">
        <f>'1.3 Frota Total'!H76</f>
        <v>0</v>
      </c>
    </row>
    <row r="82" spans="1:9" x14ac:dyDescent="0.25">
      <c r="A82" s="745"/>
      <c r="B82" s="746"/>
      <c r="C82" s="746"/>
      <c r="D82" s="746"/>
      <c r="E82" s="147">
        <v>5</v>
      </c>
      <c r="F82" s="151">
        <f>'1.3 Frota Total'!E77</f>
        <v>0</v>
      </c>
      <c r="G82" s="151">
        <f>'1.3 Frota Total'!F77</f>
        <v>0</v>
      </c>
      <c r="H82" s="151">
        <f>'1.3 Frota Total'!G77</f>
        <v>0</v>
      </c>
      <c r="I82" s="163">
        <f>'1.3 Frota Total'!H77</f>
        <v>0</v>
      </c>
    </row>
    <row r="83" spans="1:9" x14ac:dyDescent="0.25">
      <c r="A83" s="745"/>
      <c r="B83" s="746"/>
      <c r="C83" s="746"/>
      <c r="D83" s="746"/>
      <c r="E83" s="147">
        <v>6</v>
      </c>
      <c r="F83" s="151">
        <f>'1.3 Frota Total'!E78</f>
        <v>0</v>
      </c>
      <c r="G83" s="151">
        <f>'1.3 Frota Total'!F78</f>
        <v>0</v>
      </c>
      <c r="H83" s="151">
        <f>'1.3 Frota Total'!G78</f>
        <v>0</v>
      </c>
      <c r="I83" s="163">
        <f>'1.3 Frota Total'!H78</f>
        <v>0</v>
      </c>
    </row>
    <row r="84" spans="1:9" x14ac:dyDescent="0.25">
      <c r="A84" s="745"/>
      <c r="B84" s="746"/>
      <c r="C84" s="746"/>
      <c r="D84" s="746"/>
      <c r="E84" s="147">
        <v>7</v>
      </c>
      <c r="F84" s="151">
        <f>'1.3 Frota Total'!E79</f>
        <v>0</v>
      </c>
      <c r="G84" s="151">
        <f>'1.3 Frota Total'!F79</f>
        <v>0</v>
      </c>
      <c r="H84" s="151">
        <f>'1.3 Frota Total'!G79</f>
        <v>0</v>
      </c>
      <c r="I84" s="163">
        <f>'1.3 Frota Total'!H79</f>
        <v>0</v>
      </c>
    </row>
    <row r="85" spans="1:9" x14ac:dyDescent="0.25">
      <c r="A85" s="745"/>
      <c r="B85" s="746"/>
      <c r="C85" s="746"/>
      <c r="D85" s="746"/>
      <c r="E85" s="147">
        <v>8</v>
      </c>
      <c r="F85" s="151">
        <f>'1.3 Frota Total'!E80</f>
        <v>0</v>
      </c>
      <c r="G85" s="151">
        <f>'1.3 Frota Total'!F80</f>
        <v>0</v>
      </c>
      <c r="H85" s="151">
        <f>'1.3 Frota Total'!G80</f>
        <v>0</v>
      </c>
      <c r="I85" s="163">
        <f>'1.3 Frota Total'!H80</f>
        <v>0</v>
      </c>
    </row>
    <row r="86" spans="1:9" x14ac:dyDescent="0.25">
      <c r="A86" s="745"/>
      <c r="B86" s="746"/>
      <c r="C86" s="746"/>
      <c r="D86" s="746"/>
      <c r="E86" s="147">
        <v>9</v>
      </c>
      <c r="F86" s="151">
        <f>'1.3 Frota Total'!E81</f>
        <v>0</v>
      </c>
      <c r="G86" s="151">
        <f>'1.3 Frota Total'!F81</f>
        <v>0</v>
      </c>
      <c r="H86" s="151">
        <f>'1.3 Frota Total'!G81</f>
        <v>0</v>
      </c>
      <c r="I86" s="163">
        <f>'1.3 Frota Total'!H81</f>
        <v>0</v>
      </c>
    </row>
    <row r="87" spans="1:9" x14ac:dyDescent="0.25">
      <c r="A87" s="745"/>
      <c r="B87" s="746"/>
      <c r="C87" s="746"/>
      <c r="D87" s="746"/>
      <c r="E87" s="147">
        <v>10</v>
      </c>
      <c r="F87" s="151">
        <f>'1.3 Frota Total'!E82</f>
        <v>0</v>
      </c>
      <c r="G87" s="151">
        <f>'1.3 Frota Total'!F82</f>
        <v>0</v>
      </c>
      <c r="H87" s="151">
        <f>'1.3 Frota Total'!G82</f>
        <v>0</v>
      </c>
      <c r="I87" s="163">
        <f>'1.3 Frota Total'!H82</f>
        <v>0</v>
      </c>
    </row>
    <row r="88" spans="1:9" x14ac:dyDescent="0.25">
      <c r="A88" s="745"/>
      <c r="B88" s="746"/>
      <c r="C88" s="746"/>
      <c r="D88" s="746"/>
      <c r="E88" s="147">
        <v>11</v>
      </c>
      <c r="F88" s="151">
        <f>'1.3 Frota Total'!E83</f>
        <v>0</v>
      </c>
      <c r="G88" s="151">
        <f>'1.3 Frota Total'!F83</f>
        <v>0</v>
      </c>
      <c r="H88" s="151">
        <f>'1.3 Frota Total'!G83</f>
        <v>0</v>
      </c>
      <c r="I88" s="163">
        <f>'1.3 Frota Total'!H83</f>
        <v>0</v>
      </c>
    </row>
    <row r="89" spans="1:9" ht="15.75" thickBot="1" x14ac:dyDescent="0.3">
      <c r="A89" s="747"/>
      <c r="B89" s="748"/>
      <c r="C89" s="748"/>
      <c r="D89" s="748"/>
      <c r="E89" s="311">
        <v>12</v>
      </c>
      <c r="F89" s="312">
        <f>'1.3 Frota Total'!E84</f>
        <v>0</v>
      </c>
      <c r="G89" s="312">
        <f>'1.3 Frota Total'!F84</f>
        <v>0</v>
      </c>
      <c r="H89" s="312">
        <f>'1.3 Frota Total'!G84</f>
        <v>0</v>
      </c>
      <c r="I89" s="315">
        <f>'1.3 Frota Total'!H84</f>
        <v>0</v>
      </c>
    </row>
    <row r="90" spans="1:9" x14ac:dyDescent="0.25">
      <c r="A90" s="722" t="s">
        <v>16</v>
      </c>
      <c r="B90" s="723"/>
      <c r="C90" s="723"/>
      <c r="D90" s="724"/>
      <c r="E90" s="146">
        <v>0</v>
      </c>
      <c r="F90" s="149">
        <f>'1.3 Frota Total'!E85</f>
        <v>0</v>
      </c>
      <c r="G90" s="149">
        <f>'1.3 Frota Total'!F85</f>
        <v>0</v>
      </c>
      <c r="H90" s="149">
        <f>'1.3 Frota Total'!G85</f>
        <v>0</v>
      </c>
      <c r="I90" s="162">
        <f>'1.3 Frota Total'!H85</f>
        <v>0</v>
      </c>
    </row>
    <row r="91" spans="1:9" x14ac:dyDescent="0.25">
      <c r="A91" s="725"/>
      <c r="B91" s="726"/>
      <c r="C91" s="726"/>
      <c r="D91" s="727"/>
      <c r="E91" s="147">
        <v>1</v>
      </c>
      <c r="F91" s="151">
        <f>'1.3 Frota Total'!E86</f>
        <v>0</v>
      </c>
      <c r="G91" s="151">
        <f>'1.3 Frota Total'!F86</f>
        <v>0</v>
      </c>
      <c r="H91" s="151">
        <f>'1.3 Frota Total'!G86</f>
        <v>0</v>
      </c>
      <c r="I91" s="163">
        <f>'1.3 Frota Total'!H86</f>
        <v>0</v>
      </c>
    </row>
    <row r="92" spans="1:9" x14ac:dyDescent="0.25">
      <c r="A92" s="725"/>
      <c r="B92" s="726"/>
      <c r="C92" s="726"/>
      <c r="D92" s="727"/>
      <c r="E92" s="147">
        <v>2</v>
      </c>
      <c r="F92" s="151">
        <f>'1.3 Frota Total'!E87</f>
        <v>0</v>
      </c>
      <c r="G92" s="151">
        <f>'1.3 Frota Total'!F87</f>
        <v>0</v>
      </c>
      <c r="H92" s="151">
        <f>'1.3 Frota Total'!G87</f>
        <v>0</v>
      </c>
      <c r="I92" s="163">
        <f>'1.3 Frota Total'!H87</f>
        <v>0</v>
      </c>
    </row>
    <row r="93" spans="1:9" x14ac:dyDescent="0.25">
      <c r="A93" s="725"/>
      <c r="B93" s="726"/>
      <c r="C93" s="726"/>
      <c r="D93" s="727"/>
      <c r="E93" s="147">
        <v>3</v>
      </c>
      <c r="F93" s="151">
        <f>'1.3 Frota Total'!E88</f>
        <v>0</v>
      </c>
      <c r="G93" s="151">
        <f>'1.3 Frota Total'!F88</f>
        <v>0</v>
      </c>
      <c r="H93" s="151">
        <f>'1.3 Frota Total'!G88</f>
        <v>0</v>
      </c>
      <c r="I93" s="163">
        <f>'1.3 Frota Total'!H88</f>
        <v>0</v>
      </c>
    </row>
    <row r="94" spans="1:9" x14ac:dyDescent="0.25">
      <c r="A94" s="725"/>
      <c r="B94" s="726"/>
      <c r="C94" s="726"/>
      <c r="D94" s="727"/>
      <c r="E94" s="147">
        <v>4</v>
      </c>
      <c r="F94" s="151">
        <f>'1.3 Frota Total'!E89</f>
        <v>0</v>
      </c>
      <c r="G94" s="151">
        <f>'1.3 Frota Total'!F89</f>
        <v>0</v>
      </c>
      <c r="H94" s="151">
        <f>'1.3 Frota Total'!G89</f>
        <v>0</v>
      </c>
      <c r="I94" s="163">
        <f>'1.3 Frota Total'!H89</f>
        <v>0</v>
      </c>
    </row>
    <row r="95" spans="1:9" x14ac:dyDescent="0.25">
      <c r="A95" s="725"/>
      <c r="B95" s="726"/>
      <c r="C95" s="726"/>
      <c r="D95" s="727"/>
      <c r="E95" s="147">
        <v>5</v>
      </c>
      <c r="F95" s="151">
        <f>'1.3 Frota Total'!E90</f>
        <v>0</v>
      </c>
      <c r="G95" s="151">
        <f>'1.3 Frota Total'!F90</f>
        <v>0</v>
      </c>
      <c r="H95" s="151">
        <f>'1.3 Frota Total'!G90</f>
        <v>0</v>
      </c>
      <c r="I95" s="163">
        <f>'1.3 Frota Total'!H90</f>
        <v>0</v>
      </c>
    </row>
    <row r="96" spans="1:9" x14ac:dyDescent="0.25">
      <c r="A96" s="725"/>
      <c r="B96" s="726"/>
      <c r="C96" s="726"/>
      <c r="D96" s="727"/>
      <c r="E96" s="147">
        <v>6</v>
      </c>
      <c r="F96" s="151">
        <f>'1.3 Frota Total'!E91</f>
        <v>0</v>
      </c>
      <c r="G96" s="151">
        <f>'1.3 Frota Total'!F91</f>
        <v>0</v>
      </c>
      <c r="H96" s="151">
        <f>'1.3 Frota Total'!G91</f>
        <v>0</v>
      </c>
      <c r="I96" s="163">
        <f>'1.3 Frota Total'!H91</f>
        <v>0</v>
      </c>
    </row>
    <row r="97" spans="1:10" x14ac:dyDescent="0.25">
      <c r="A97" s="725"/>
      <c r="B97" s="726"/>
      <c r="C97" s="726"/>
      <c r="D97" s="727"/>
      <c r="E97" s="147">
        <v>7</v>
      </c>
      <c r="F97" s="151">
        <f>'1.3 Frota Total'!E92</f>
        <v>0</v>
      </c>
      <c r="G97" s="151">
        <f>'1.3 Frota Total'!F92</f>
        <v>0</v>
      </c>
      <c r="H97" s="151">
        <f>'1.3 Frota Total'!G92</f>
        <v>0</v>
      </c>
      <c r="I97" s="163">
        <f>'1.3 Frota Total'!H92</f>
        <v>0</v>
      </c>
    </row>
    <row r="98" spans="1:10" x14ac:dyDescent="0.25">
      <c r="A98" s="725"/>
      <c r="B98" s="726"/>
      <c r="C98" s="726"/>
      <c r="D98" s="727"/>
      <c r="E98" s="147">
        <v>8</v>
      </c>
      <c r="F98" s="151">
        <f>'1.3 Frota Total'!E93</f>
        <v>0</v>
      </c>
      <c r="G98" s="151">
        <f>'1.3 Frota Total'!F93</f>
        <v>0</v>
      </c>
      <c r="H98" s="151">
        <f>'1.3 Frota Total'!G93</f>
        <v>0</v>
      </c>
      <c r="I98" s="163">
        <f>'1.3 Frota Total'!H93</f>
        <v>0</v>
      </c>
    </row>
    <row r="99" spans="1:10" x14ac:dyDescent="0.25">
      <c r="A99" s="725"/>
      <c r="B99" s="726"/>
      <c r="C99" s="726"/>
      <c r="D99" s="727"/>
      <c r="E99" s="147">
        <v>9</v>
      </c>
      <c r="F99" s="151">
        <f>'1.3 Frota Total'!E94</f>
        <v>0</v>
      </c>
      <c r="G99" s="151">
        <f>'1.3 Frota Total'!F94</f>
        <v>0</v>
      </c>
      <c r="H99" s="151">
        <f>'1.3 Frota Total'!G94</f>
        <v>0</v>
      </c>
      <c r="I99" s="163">
        <f>'1.3 Frota Total'!H94</f>
        <v>0</v>
      </c>
    </row>
    <row r="100" spans="1:10" x14ac:dyDescent="0.25">
      <c r="A100" s="725"/>
      <c r="B100" s="726"/>
      <c r="C100" s="726"/>
      <c r="D100" s="727"/>
      <c r="E100" s="147">
        <v>10</v>
      </c>
      <c r="F100" s="151">
        <f>'1.3 Frota Total'!E95</f>
        <v>0</v>
      </c>
      <c r="G100" s="151">
        <f>'1.3 Frota Total'!F95</f>
        <v>0</v>
      </c>
      <c r="H100" s="151">
        <f>'1.3 Frota Total'!G95</f>
        <v>0</v>
      </c>
      <c r="I100" s="163">
        <f>'1.3 Frota Total'!H95</f>
        <v>0</v>
      </c>
    </row>
    <row r="101" spans="1:10" x14ac:dyDescent="0.25">
      <c r="A101" s="725"/>
      <c r="B101" s="726"/>
      <c r="C101" s="726"/>
      <c r="D101" s="727"/>
      <c r="E101" s="147">
        <v>11</v>
      </c>
      <c r="F101" s="151">
        <f>'1.3 Frota Total'!E96</f>
        <v>0</v>
      </c>
      <c r="G101" s="151">
        <f>'1.3 Frota Total'!F96</f>
        <v>0</v>
      </c>
      <c r="H101" s="151">
        <f>'1.3 Frota Total'!G96</f>
        <v>0</v>
      </c>
      <c r="I101" s="163">
        <f>'1.3 Frota Total'!H96</f>
        <v>0</v>
      </c>
    </row>
    <row r="102" spans="1:10" ht="15.75" thickBot="1" x14ac:dyDescent="0.3">
      <c r="A102" s="728"/>
      <c r="B102" s="729"/>
      <c r="C102" s="729"/>
      <c r="D102" s="730"/>
      <c r="E102" s="148">
        <v>12</v>
      </c>
      <c r="F102" s="153">
        <f>'1.3 Frota Total'!E97</f>
        <v>0</v>
      </c>
      <c r="G102" s="153">
        <f>'1.3 Frota Total'!F97</f>
        <v>0</v>
      </c>
      <c r="H102" s="153">
        <f>'1.3 Frota Total'!G97</f>
        <v>0</v>
      </c>
      <c r="I102" s="164">
        <f>'1.3 Frota Total'!H97</f>
        <v>0</v>
      </c>
    </row>
    <row r="104" spans="1:10" x14ac:dyDescent="0.25">
      <c r="A104" s="27" t="s">
        <v>688</v>
      </c>
      <c r="B104" s="27" t="s">
        <v>132</v>
      </c>
    </row>
    <row r="105" spans="1:10" x14ac:dyDescent="0.25">
      <c r="A105" s="591" t="s">
        <v>7</v>
      </c>
      <c r="B105" s="591"/>
      <c r="C105" s="591"/>
      <c r="D105" s="591"/>
      <c r="E105" s="749" t="s">
        <v>119</v>
      </c>
      <c r="F105" s="482" t="s">
        <v>5</v>
      </c>
      <c r="G105" s="482" t="s">
        <v>6</v>
      </c>
      <c r="H105" s="482" t="s">
        <v>6</v>
      </c>
      <c r="I105" s="483"/>
      <c r="J105" s="749" t="s">
        <v>129</v>
      </c>
    </row>
    <row r="106" spans="1:10" ht="15.75" thickBot="1" x14ac:dyDescent="0.3">
      <c r="A106" s="749"/>
      <c r="B106" s="749"/>
      <c r="C106" s="749"/>
      <c r="D106" s="749"/>
      <c r="E106" s="762"/>
      <c r="F106" s="121" t="s">
        <v>8</v>
      </c>
      <c r="G106" s="121"/>
      <c r="H106" s="121" t="s">
        <v>8</v>
      </c>
      <c r="I106" s="121"/>
      <c r="J106" s="762" t="s">
        <v>129</v>
      </c>
    </row>
    <row r="107" spans="1:10" hidden="1" x14ac:dyDescent="0.25">
      <c r="A107" s="750" t="s">
        <v>127</v>
      </c>
      <c r="B107" s="751"/>
      <c r="C107" s="751"/>
      <c r="D107" s="752"/>
      <c r="E107" s="155">
        <v>0</v>
      </c>
      <c r="F107" s="382">
        <f t="shared" ref="F107:H126" si="2">F36*$J107</f>
        <v>0</v>
      </c>
      <c r="G107" s="382"/>
      <c r="H107" s="382">
        <f t="shared" si="2"/>
        <v>0</v>
      </c>
      <c r="I107" s="382"/>
      <c r="J107" s="381">
        <f t="shared" ref="J107:J112" si="3">D19</f>
        <v>0</v>
      </c>
    </row>
    <row r="108" spans="1:10" hidden="1" x14ac:dyDescent="0.25">
      <c r="A108" s="705"/>
      <c r="B108" s="706"/>
      <c r="C108" s="706"/>
      <c r="D108" s="707"/>
      <c r="E108" s="156">
        <v>1</v>
      </c>
      <c r="F108" s="387">
        <f t="shared" si="2"/>
        <v>0</v>
      </c>
      <c r="G108" s="387"/>
      <c r="H108" s="387">
        <f t="shared" si="2"/>
        <v>0</v>
      </c>
      <c r="I108" s="387"/>
      <c r="J108" s="380">
        <f t="shared" si="3"/>
        <v>0</v>
      </c>
    </row>
    <row r="109" spans="1:10" hidden="1" x14ac:dyDescent="0.25">
      <c r="A109" s="705"/>
      <c r="B109" s="706"/>
      <c r="C109" s="706"/>
      <c r="D109" s="707"/>
      <c r="E109" s="156">
        <v>2</v>
      </c>
      <c r="F109" s="387">
        <f t="shared" si="2"/>
        <v>0</v>
      </c>
      <c r="G109" s="387"/>
      <c r="H109" s="387">
        <f t="shared" si="2"/>
        <v>0</v>
      </c>
      <c r="I109" s="387"/>
      <c r="J109" s="380">
        <f t="shared" si="3"/>
        <v>0</v>
      </c>
    </row>
    <row r="110" spans="1:10" hidden="1" x14ac:dyDescent="0.25">
      <c r="A110" s="705"/>
      <c r="B110" s="706"/>
      <c r="C110" s="706"/>
      <c r="D110" s="707"/>
      <c r="E110" s="156">
        <v>3</v>
      </c>
      <c r="F110" s="387">
        <f t="shared" si="2"/>
        <v>0</v>
      </c>
      <c r="G110" s="387"/>
      <c r="H110" s="387">
        <f t="shared" si="2"/>
        <v>0</v>
      </c>
      <c r="I110" s="387"/>
      <c r="J110" s="380">
        <f t="shared" si="3"/>
        <v>0</v>
      </c>
    </row>
    <row r="111" spans="1:10" hidden="1" x14ac:dyDescent="0.25">
      <c r="A111" s="705"/>
      <c r="B111" s="706"/>
      <c r="C111" s="706"/>
      <c r="D111" s="707"/>
      <c r="E111" s="156">
        <v>4</v>
      </c>
      <c r="F111" s="387">
        <f t="shared" si="2"/>
        <v>0</v>
      </c>
      <c r="G111" s="387"/>
      <c r="H111" s="387">
        <f t="shared" si="2"/>
        <v>0</v>
      </c>
      <c r="I111" s="387"/>
      <c r="J111" s="380">
        <f t="shared" si="3"/>
        <v>0</v>
      </c>
    </row>
    <row r="112" spans="1:10" ht="15.75" hidden="1" thickBot="1" x14ac:dyDescent="0.3">
      <c r="A112" s="753"/>
      <c r="B112" s="754"/>
      <c r="C112" s="754"/>
      <c r="D112" s="755"/>
      <c r="E112" s="157">
        <v>5</v>
      </c>
      <c r="F112" s="379">
        <f t="shared" si="2"/>
        <v>0</v>
      </c>
      <c r="G112" s="379"/>
      <c r="H112" s="379">
        <f t="shared" si="2"/>
        <v>0</v>
      </c>
      <c r="I112" s="379"/>
      <c r="J112" s="378">
        <f t="shared" si="3"/>
        <v>0</v>
      </c>
    </row>
    <row r="113" spans="1:10" hidden="1" x14ac:dyDescent="0.25">
      <c r="A113" s="750" t="s">
        <v>11</v>
      </c>
      <c r="B113" s="751"/>
      <c r="C113" s="751"/>
      <c r="D113" s="752"/>
      <c r="E113" s="155">
        <v>0</v>
      </c>
      <c r="F113" s="382">
        <f t="shared" si="2"/>
        <v>0</v>
      </c>
      <c r="G113" s="382"/>
      <c r="H113" s="382">
        <f t="shared" si="2"/>
        <v>0</v>
      </c>
      <c r="I113" s="382"/>
      <c r="J113" s="381">
        <f t="shared" ref="J113:J118" si="4">D19</f>
        <v>0</v>
      </c>
    </row>
    <row r="114" spans="1:10" hidden="1" x14ac:dyDescent="0.25">
      <c r="A114" s="705"/>
      <c r="B114" s="706"/>
      <c r="C114" s="706"/>
      <c r="D114" s="707"/>
      <c r="E114" s="156">
        <v>1</v>
      </c>
      <c r="F114" s="387">
        <f t="shared" si="2"/>
        <v>0</v>
      </c>
      <c r="G114" s="387"/>
      <c r="H114" s="387">
        <f t="shared" si="2"/>
        <v>0</v>
      </c>
      <c r="I114" s="387"/>
      <c r="J114" s="385">
        <f t="shared" si="4"/>
        <v>0</v>
      </c>
    </row>
    <row r="115" spans="1:10" hidden="1" x14ac:dyDescent="0.25">
      <c r="A115" s="705"/>
      <c r="B115" s="706"/>
      <c r="C115" s="706"/>
      <c r="D115" s="707"/>
      <c r="E115" s="156">
        <v>2</v>
      </c>
      <c r="F115" s="387">
        <f t="shared" si="2"/>
        <v>0</v>
      </c>
      <c r="G115" s="387"/>
      <c r="H115" s="387">
        <f t="shared" si="2"/>
        <v>0</v>
      </c>
      <c r="I115" s="387"/>
      <c r="J115" s="385">
        <f t="shared" si="4"/>
        <v>0</v>
      </c>
    </row>
    <row r="116" spans="1:10" hidden="1" x14ac:dyDescent="0.25">
      <c r="A116" s="705"/>
      <c r="B116" s="706"/>
      <c r="C116" s="706"/>
      <c r="D116" s="707"/>
      <c r="E116" s="156">
        <v>3</v>
      </c>
      <c r="F116" s="387">
        <f t="shared" si="2"/>
        <v>0</v>
      </c>
      <c r="G116" s="387"/>
      <c r="H116" s="387">
        <f t="shared" si="2"/>
        <v>0</v>
      </c>
      <c r="I116" s="387"/>
      <c r="J116" s="385">
        <f t="shared" si="4"/>
        <v>0</v>
      </c>
    </row>
    <row r="117" spans="1:10" hidden="1" x14ac:dyDescent="0.25">
      <c r="A117" s="705"/>
      <c r="B117" s="706"/>
      <c r="C117" s="706"/>
      <c r="D117" s="707"/>
      <c r="E117" s="156">
        <v>4</v>
      </c>
      <c r="F117" s="387">
        <f t="shared" si="2"/>
        <v>0</v>
      </c>
      <c r="G117" s="387"/>
      <c r="H117" s="387">
        <f t="shared" si="2"/>
        <v>0</v>
      </c>
      <c r="I117" s="387"/>
      <c r="J117" s="385">
        <f t="shared" si="4"/>
        <v>0</v>
      </c>
    </row>
    <row r="118" spans="1:10" ht="15.75" hidden="1" thickBot="1" x14ac:dyDescent="0.3">
      <c r="A118" s="753"/>
      <c r="B118" s="754"/>
      <c r="C118" s="754"/>
      <c r="D118" s="755"/>
      <c r="E118" s="157">
        <v>5</v>
      </c>
      <c r="F118" s="379">
        <f t="shared" si="2"/>
        <v>0</v>
      </c>
      <c r="G118" s="379"/>
      <c r="H118" s="379">
        <f t="shared" si="2"/>
        <v>0</v>
      </c>
      <c r="I118" s="379"/>
      <c r="J118" s="384">
        <f t="shared" si="4"/>
        <v>0</v>
      </c>
    </row>
    <row r="119" spans="1:10" hidden="1" x14ac:dyDescent="0.25">
      <c r="A119" s="750" t="s">
        <v>12</v>
      </c>
      <c r="B119" s="751"/>
      <c r="C119" s="751"/>
      <c r="D119" s="752"/>
      <c r="E119" s="155">
        <v>0</v>
      </c>
      <c r="F119" s="382">
        <f t="shared" si="2"/>
        <v>0</v>
      </c>
      <c r="G119" s="382"/>
      <c r="H119" s="382">
        <f t="shared" si="2"/>
        <v>0</v>
      </c>
      <c r="I119" s="382"/>
      <c r="J119" s="381">
        <f>E19</f>
        <v>1.6666666666666666E-2</v>
      </c>
    </row>
    <row r="120" spans="1:10" hidden="1" x14ac:dyDescent="0.25">
      <c r="A120" s="705"/>
      <c r="B120" s="706"/>
      <c r="C120" s="706"/>
      <c r="D120" s="707"/>
      <c r="E120" s="156">
        <v>1</v>
      </c>
      <c r="F120" s="387">
        <f t="shared" si="2"/>
        <v>0</v>
      </c>
      <c r="G120" s="387"/>
      <c r="H120" s="387">
        <f t="shared" si="2"/>
        <v>0</v>
      </c>
      <c r="I120" s="387"/>
      <c r="J120" s="385">
        <f t="shared" ref="J120:J126" si="5">E20</f>
        <v>1.4583333333333332E-2</v>
      </c>
    </row>
    <row r="121" spans="1:10" hidden="1" x14ac:dyDescent="0.25">
      <c r="A121" s="705"/>
      <c r="B121" s="706"/>
      <c r="C121" s="706"/>
      <c r="D121" s="707"/>
      <c r="E121" s="156">
        <v>2</v>
      </c>
      <c r="F121" s="387">
        <f t="shared" si="2"/>
        <v>0</v>
      </c>
      <c r="G121" s="387"/>
      <c r="H121" s="387">
        <f t="shared" si="2"/>
        <v>0</v>
      </c>
      <c r="I121" s="387"/>
      <c r="J121" s="385">
        <f t="shared" si="5"/>
        <v>1.2500000000000002E-2</v>
      </c>
    </row>
    <row r="122" spans="1:10" hidden="1" x14ac:dyDescent="0.25">
      <c r="A122" s="705"/>
      <c r="B122" s="706"/>
      <c r="C122" s="706"/>
      <c r="D122" s="707"/>
      <c r="E122" s="156">
        <v>3</v>
      </c>
      <c r="F122" s="387">
        <f t="shared" si="2"/>
        <v>0</v>
      </c>
      <c r="G122" s="387"/>
      <c r="H122" s="387">
        <f t="shared" si="2"/>
        <v>0</v>
      </c>
      <c r="I122" s="387"/>
      <c r="J122" s="385">
        <f t="shared" si="5"/>
        <v>1.0416666666666666E-2</v>
      </c>
    </row>
    <row r="123" spans="1:10" hidden="1" x14ac:dyDescent="0.25">
      <c r="A123" s="705"/>
      <c r="B123" s="706"/>
      <c r="C123" s="706"/>
      <c r="D123" s="707"/>
      <c r="E123" s="156">
        <v>4</v>
      </c>
      <c r="F123" s="387">
        <f t="shared" si="2"/>
        <v>0</v>
      </c>
      <c r="G123" s="387"/>
      <c r="H123" s="387">
        <f t="shared" si="2"/>
        <v>0</v>
      </c>
      <c r="I123" s="387"/>
      <c r="J123" s="385">
        <f t="shared" si="5"/>
        <v>8.3333333333333332E-3</v>
      </c>
    </row>
    <row r="124" spans="1:10" hidden="1" x14ac:dyDescent="0.25">
      <c r="A124" s="705"/>
      <c r="B124" s="706"/>
      <c r="C124" s="706"/>
      <c r="D124" s="707"/>
      <c r="E124" s="156">
        <v>5</v>
      </c>
      <c r="F124" s="387">
        <f t="shared" si="2"/>
        <v>0</v>
      </c>
      <c r="G124" s="387"/>
      <c r="H124" s="387">
        <f t="shared" si="2"/>
        <v>0</v>
      </c>
      <c r="I124" s="387"/>
      <c r="J124" s="385">
        <f t="shared" si="5"/>
        <v>6.2500000000000012E-3</v>
      </c>
    </row>
    <row r="125" spans="1:10" hidden="1" x14ac:dyDescent="0.25">
      <c r="A125" s="705"/>
      <c r="B125" s="706"/>
      <c r="C125" s="706"/>
      <c r="D125" s="707"/>
      <c r="E125" s="156">
        <v>6</v>
      </c>
      <c r="F125" s="387">
        <f t="shared" si="2"/>
        <v>0</v>
      </c>
      <c r="G125" s="387"/>
      <c r="H125" s="387">
        <f t="shared" si="2"/>
        <v>0</v>
      </c>
      <c r="I125" s="387"/>
      <c r="J125" s="385">
        <f t="shared" si="5"/>
        <v>4.1666666666666666E-3</v>
      </c>
    </row>
    <row r="126" spans="1:10" hidden="1" x14ac:dyDescent="0.25">
      <c r="A126" s="705"/>
      <c r="B126" s="706"/>
      <c r="C126" s="706"/>
      <c r="D126" s="707"/>
      <c r="E126" s="156">
        <v>7</v>
      </c>
      <c r="F126" s="387">
        <f t="shared" si="2"/>
        <v>0</v>
      </c>
      <c r="G126" s="387"/>
      <c r="H126" s="387">
        <f t="shared" si="2"/>
        <v>0</v>
      </c>
      <c r="I126" s="387"/>
      <c r="J126" s="385">
        <f t="shared" si="5"/>
        <v>2.0833333333333333E-3</v>
      </c>
    </row>
    <row r="127" spans="1:10" ht="15.75" hidden="1" thickBot="1" x14ac:dyDescent="0.3">
      <c r="A127" s="753"/>
      <c r="B127" s="754"/>
      <c r="C127" s="754"/>
      <c r="D127" s="755"/>
      <c r="E127" s="157">
        <v>8</v>
      </c>
      <c r="F127" s="379">
        <f t="shared" ref="F127:F133" si="6">F56*$J127</f>
        <v>0</v>
      </c>
      <c r="G127" s="379"/>
      <c r="H127" s="379">
        <f t="shared" ref="H127:H146" si="7">H56*$J127</f>
        <v>0</v>
      </c>
      <c r="I127" s="379"/>
      <c r="J127" s="384">
        <f>E27</f>
        <v>0</v>
      </c>
    </row>
    <row r="128" spans="1:10" x14ac:dyDescent="0.25">
      <c r="A128" s="750" t="s">
        <v>13</v>
      </c>
      <c r="B128" s="751"/>
      <c r="C128" s="751"/>
      <c r="D128" s="752"/>
      <c r="E128" s="155">
        <v>0</v>
      </c>
      <c r="F128" s="382">
        <f t="shared" si="6"/>
        <v>0</v>
      </c>
      <c r="G128" s="382"/>
      <c r="H128" s="382">
        <f t="shared" si="7"/>
        <v>0</v>
      </c>
      <c r="I128" s="382"/>
      <c r="J128" s="381">
        <f>E19</f>
        <v>1.6666666666666666E-2</v>
      </c>
    </row>
    <row r="129" spans="1:10" x14ac:dyDescent="0.25">
      <c r="A129" s="705"/>
      <c r="B129" s="706"/>
      <c r="C129" s="706"/>
      <c r="D129" s="707"/>
      <c r="E129" s="156">
        <v>1</v>
      </c>
      <c r="F129" s="387">
        <f t="shared" si="6"/>
        <v>0</v>
      </c>
      <c r="G129" s="387"/>
      <c r="H129" s="387">
        <f t="shared" si="7"/>
        <v>0</v>
      </c>
      <c r="I129" s="387"/>
      <c r="J129" s="385">
        <f t="shared" ref="J129:J136" si="8">E20</f>
        <v>1.4583333333333332E-2</v>
      </c>
    </row>
    <row r="130" spans="1:10" x14ac:dyDescent="0.25">
      <c r="A130" s="705"/>
      <c r="B130" s="706"/>
      <c r="C130" s="706"/>
      <c r="D130" s="707"/>
      <c r="E130" s="156">
        <v>2</v>
      </c>
      <c r="F130" s="387">
        <f t="shared" si="6"/>
        <v>0</v>
      </c>
      <c r="G130" s="387"/>
      <c r="H130" s="387">
        <f t="shared" si="7"/>
        <v>0</v>
      </c>
      <c r="I130" s="387"/>
      <c r="J130" s="385">
        <f t="shared" si="8"/>
        <v>1.2500000000000002E-2</v>
      </c>
    </row>
    <row r="131" spans="1:10" x14ac:dyDescent="0.25">
      <c r="A131" s="705"/>
      <c r="B131" s="706"/>
      <c r="C131" s="706"/>
      <c r="D131" s="707"/>
      <c r="E131" s="156">
        <v>3</v>
      </c>
      <c r="F131" s="387">
        <f t="shared" si="6"/>
        <v>0</v>
      </c>
      <c r="G131" s="387"/>
      <c r="H131" s="387">
        <f t="shared" si="7"/>
        <v>0</v>
      </c>
      <c r="I131" s="387"/>
      <c r="J131" s="385">
        <f t="shared" si="8"/>
        <v>1.0416666666666666E-2</v>
      </c>
    </row>
    <row r="132" spans="1:10" x14ac:dyDescent="0.25">
      <c r="A132" s="705"/>
      <c r="B132" s="706"/>
      <c r="C132" s="706"/>
      <c r="D132" s="707"/>
      <c r="E132" s="156">
        <v>4</v>
      </c>
      <c r="F132" s="387">
        <f t="shared" si="6"/>
        <v>0</v>
      </c>
      <c r="G132" s="387"/>
      <c r="H132" s="387">
        <f t="shared" si="7"/>
        <v>0</v>
      </c>
      <c r="I132" s="387"/>
      <c r="J132" s="385">
        <f t="shared" si="8"/>
        <v>8.3333333333333332E-3</v>
      </c>
    </row>
    <row r="133" spans="1:10" x14ac:dyDescent="0.25">
      <c r="A133" s="705"/>
      <c r="B133" s="706"/>
      <c r="C133" s="706"/>
      <c r="D133" s="707"/>
      <c r="E133" s="156">
        <v>5</v>
      </c>
      <c r="F133" s="387">
        <f t="shared" si="6"/>
        <v>1.2500000000000002E-2</v>
      </c>
      <c r="G133" s="387"/>
      <c r="H133" s="387">
        <f t="shared" si="7"/>
        <v>0</v>
      </c>
      <c r="I133" s="387"/>
      <c r="J133" s="385">
        <f t="shared" si="8"/>
        <v>6.2500000000000012E-3</v>
      </c>
    </row>
    <row r="134" spans="1:10" x14ac:dyDescent="0.25">
      <c r="A134" s="705"/>
      <c r="B134" s="706"/>
      <c r="C134" s="706"/>
      <c r="D134" s="707"/>
      <c r="E134" s="156">
        <v>6</v>
      </c>
      <c r="F134" s="387">
        <f t="shared" ref="F134:F146" si="9">F63*$J134</f>
        <v>0</v>
      </c>
      <c r="G134" s="387"/>
      <c r="H134" s="387">
        <f t="shared" si="7"/>
        <v>8.3333333333333332E-3</v>
      </c>
      <c r="I134" s="387"/>
      <c r="J134" s="385">
        <f t="shared" si="8"/>
        <v>4.1666666666666666E-3</v>
      </c>
    </row>
    <row r="135" spans="1:10" x14ac:dyDescent="0.25">
      <c r="A135" s="705"/>
      <c r="B135" s="706"/>
      <c r="C135" s="706"/>
      <c r="D135" s="707"/>
      <c r="E135" s="156">
        <v>7</v>
      </c>
      <c r="F135" s="387">
        <f t="shared" si="9"/>
        <v>0</v>
      </c>
      <c r="G135" s="387"/>
      <c r="H135" s="387">
        <f t="shared" si="7"/>
        <v>0</v>
      </c>
      <c r="I135" s="387"/>
      <c r="J135" s="385">
        <f t="shared" si="8"/>
        <v>2.0833333333333333E-3</v>
      </c>
    </row>
    <row r="136" spans="1:10" ht="15.75" thickBot="1" x14ac:dyDescent="0.3">
      <c r="A136" s="753"/>
      <c r="B136" s="754"/>
      <c r="C136" s="754"/>
      <c r="D136" s="755"/>
      <c r="E136" s="157">
        <v>8</v>
      </c>
      <c r="F136" s="379">
        <f t="shared" si="9"/>
        <v>0</v>
      </c>
      <c r="G136" s="379"/>
      <c r="H136" s="379">
        <f t="shared" si="7"/>
        <v>0</v>
      </c>
      <c r="I136" s="379"/>
      <c r="J136" s="384">
        <f t="shared" si="8"/>
        <v>0</v>
      </c>
    </row>
    <row r="137" spans="1:10" hidden="1" x14ac:dyDescent="0.25">
      <c r="A137" s="750" t="s">
        <v>14</v>
      </c>
      <c r="B137" s="751"/>
      <c r="C137" s="751"/>
      <c r="D137" s="752"/>
      <c r="E137" s="155">
        <v>0</v>
      </c>
      <c r="F137" s="382">
        <f t="shared" si="9"/>
        <v>0</v>
      </c>
      <c r="G137" s="382"/>
      <c r="H137" s="382">
        <f t="shared" si="7"/>
        <v>0</v>
      </c>
      <c r="I137" s="382"/>
      <c r="J137" s="381">
        <f>F19</f>
        <v>1.3636363636363636E-2</v>
      </c>
    </row>
    <row r="138" spans="1:10" hidden="1" x14ac:dyDescent="0.25">
      <c r="A138" s="705"/>
      <c r="B138" s="706"/>
      <c r="C138" s="706"/>
      <c r="D138" s="707"/>
      <c r="E138" s="156">
        <v>1</v>
      </c>
      <c r="F138" s="387">
        <f t="shared" si="9"/>
        <v>0</v>
      </c>
      <c r="G138" s="387"/>
      <c r="H138" s="387">
        <f t="shared" si="7"/>
        <v>0</v>
      </c>
      <c r="I138" s="387"/>
      <c r="J138" s="385">
        <f t="shared" ref="J138:J147" si="10">F20</f>
        <v>1.2272727272727274E-2</v>
      </c>
    </row>
    <row r="139" spans="1:10" hidden="1" x14ac:dyDescent="0.25">
      <c r="A139" s="705"/>
      <c r="B139" s="706"/>
      <c r="C139" s="706"/>
      <c r="D139" s="707"/>
      <c r="E139" s="156">
        <v>2</v>
      </c>
      <c r="F139" s="387">
        <f t="shared" si="9"/>
        <v>0</v>
      </c>
      <c r="G139" s="387"/>
      <c r="H139" s="387">
        <f t="shared" si="7"/>
        <v>0</v>
      </c>
      <c r="I139" s="387"/>
      <c r="J139" s="385">
        <f t="shared" si="10"/>
        <v>1.090909090909091E-2</v>
      </c>
    </row>
    <row r="140" spans="1:10" hidden="1" x14ac:dyDescent="0.25">
      <c r="A140" s="705"/>
      <c r="B140" s="706"/>
      <c r="C140" s="706"/>
      <c r="D140" s="707"/>
      <c r="E140" s="156">
        <v>3</v>
      </c>
      <c r="F140" s="387">
        <f t="shared" si="9"/>
        <v>0</v>
      </c>
      <c r="G140" s="387"/>
      <c r="H140" s="387">
        <f t="shared" si="7"/>
        <v>0</v>
      </c>
      <c r="I140" s="387"/>
      <c r="J140" s="385">
        <f t="shared" si="10"/>
        <v>9.5454545454545462E-3</v>
      </c>
    </row>
    <row r="141" spans="1:10" hidden="1" x14ac:dyDescent="0.25">
      <c r="A141" s="705"/>
      <c r="B141" s="706"/>
      <c r="C141" s="706"/>
      <c r="D141" s="707"/>
      <c r="E141" s="156">
        <v>4</v>
      </c>
      <c r="F141" s="387">
        <f t="shared" si="9"/>
        <v>0</v>
      </c>
      <c r="G141" s="387"/>
      <c r="H141" s="387">
        <f t="shared" si="7"/>
        <v>0</v>
      </c>
      <c r="I141" s="387"/>
      <c r="J141" s="385">
        <f t="shared" si="10"/>
        <v>8.1818181818181825E-3</v>
      </c>
    </row>
    <row r="142" spans="1:10" hidden="1" x14ac:dyDescent="0.25">
      <c r="A142" s="705"/>
      <c r="B142" s="706"/>
      <c r="C142" s="706"/>
      <c r="D142" s="707"/>
      <c r="E142" s="156">
        <v>5</v>
      </c>
      <c r="F142" s="387">
        <f t="shared" si="9"/>
        <v>0</v>
      </c>
      <c r="G142" s="387"/>
      <c r="H142" s="387">
        <f t="shared" si="7"/>
        <v>0</v>
      </c>
      <c r="I142" s="387"/>
      <c r="J142" s="385">
        <f t="shared" si="10"/>
        <v>6.8181818181818179E-3</v>
      </c>
    </row>
    <row r="143" spans="1:10" hidden="1" x14ac:dyDescent="0.25">
      <c r="A143" s="705"/>
      <c r="B143" s="706"/>
      <c r="C143" s="706"/>
      <c r="D143" s="707"/>
      <c r="E143" s="156">
        <v>6</v>
      </c>
      <c r="F143" s="387">
        <f t="shared" si="9"/>
        <v>0</v>
      </c>
      <c r="G143" s="387"/>
      <c r="H143" s="387">
        <f t="shared" si="7"/>
        <v>0</v>
      </c>
      <c r="I143" s="387"/>
      <c r="J143" s="385">
        <f t="shared" si="10"/>
        <v>5.454545454545455E-3</v>
      </c>
    </row>
    <row r="144" spans="1:10" hidden="1" x14ac:dyDescent="0.25">
      <c r="A144" s="705"/>
      <c r="B144" s="706"/>
      <c r="C144" s="706"/>
      <c r="D144" s="707"/>
      <c r="E144" s="156">
        <v>7</v>
      </c>
      <c r="F144" s="387">
        <f t="shared" si="9"/>
        <v>0</v>
      </c>
      <c r="G144" s="387"/>
      <c r="H144" s="387">
        <f t="shared" si="7"/>
        <v>0</v>
      </c>
      <c r="I144" s="387"/>
      <c r="J144" s="385">
        <f t="shared" si="10"/>
        <v>4.0909090909090912E-3</v>
      </c>
    </row>
    <row r="145" spans="1:10" hidden="1" x14ac:dyDescent="0.25">
      <c r="A145" s="705"/>
      <c r="B145" s="706"/>
      <c r="C145" s="706"/>
      <c r="D145" s="707"/>
      <c r="E145" s="156">
        <v>8</v>
      </c>
      <c r="F145" s="387">
        <f t="shared" si="9"/>
        <v>0</v>
      </c>
      <c r="G145" s="387"/>
      <c r="H145" s="387">
        <f t="shared" si="7"/>
        <v>0</v>
      </c>
      <c r="I145" s="387"/>
      <c r="J145" s="385">
        <f t="shared" si="10"/>
        <v>2.7272727272727275E-3</v>
      </c>
    </row>
    <row r="146" spans="1:10" hidden="1" x14ac:dyDescent="0.25">
      <c r="A146" s="705"/>
      <c r="B146" s="706"/>
      <c r="C146" s="706"/>
      <c r="D146" s="707"/>
      <c r="E146" s="156">
        <v>9</v>
      </c>
      <c r="F146" s="387">
        <f t="shared" si="9"/>
        <v>0</v>
      </c>
      <c r="G146" s="387"/>
      <c r="H146" s="387">
        <f t="shared" si="7"/>
        <v>0</v>
      </c>
      <c r="I146" s="387"/>
      <c r="J146" s="385">
        <f t="shared" si="10"/>
        <v>1.3636363636363637E-3</v>
      </c>
    </row>
    <row r="147" spans="1:10" ht="15.75" hidden="1" thickBot="1" x14ac:dyDescent="0.3">
      <c r="A147" s="753"/>
      <c r="B147" s="754"/>
      <c r="C147" s="754"/>
      <c r="D147" s="755"/>
      <c r="E147" s="157">
        <v>10</v>
      </c>
      <c r="F147" s="379">
        <f t="shared" ref="F147:I166" si="11">F76*$J147</f>
        <v>0</v>
      </c>
      <c r="G147" s="379"/>
      <c r="H147" s="379">
        <f t="shared" si="11"/>
        <v>0</v>
      </c>
      <c r="I147" s="379"/>
      <c r="J147" s="384">
        <f t="shared" si="10"/>
        <v>0</v>
      </c>
    </row>
    <row r="148" spans="1:10" hidden="1" x14ac:dyDescent="0.25">
      <c r="A148" s="750" t="s">
        <v>15</v>
      </c>
      <c r="B148" s="751"/>
      <c r="C148" s="751"/>
      <c r="D148" s="752"/>
      <c r="E148" s="155">
        <v>0</v>
      </c>
      <c r="F148" s="382">
        <f t="shared" si="11"/>
        <v>0</v>
      </c>
      <c r="G148" s="382">
        <f t="shared" si="11"/>
        <v>0</v>
      </c>
      <c r="H148" s="382">
        <f t="shared" si="11"/>
        <v>0</v>
      </c>
      <c r="I148" s="382">
        <f t="shared" si="11"/>
        <v>0</v>
      </c>
      <c r="J148" s="381">
        <f>G19</f>
        <v>0</v>
      </c>
    </row>
    <row r="149" spans="1:10" hidden="1" x14ac:dyDescent="0.25">
      <c r="A149" s="705"/>
      <c r="B149" s="706"/>
      <c r="C149" s="706"/>
      <c r="D149" s="707"/>
      <c r="E149" s="156">
        <v>1</v>
      </c>
      <c r="F149" s="387">
        <f t="shared" si="11"/>
        <v>0</v>
      </c>
      <c r="G149" s="387">
        <f t="shared" si="11"/>
        <v>0</v>
      </c>
      <c r="H149" s="387">
        <f t="shared" si="11"/>
        <v>0</v>
      </c>
      <c r="I149" s="387">
        <f t="shared" si="11"/>
        <v>0</v>
      </c>
      <c r="J149" s="385">
        <f t="shared" ref="J149:J160" si="12">G20</f>
        <v>0</v>
      </c>
    </row>
    <row r="150" spans="1:10" hidden="1" x14ac:dyDescent="0.25">
      <c r="A150" s="705"/>
      <c r="B150" s="706"/>
      <c r="C150" s="706"/>
      <c r="D150" s="707"/>
      <c r="E150" s="156">
        <v>2</v>
      </c>
      <c r="F150" s="387">
        <f t="shared" si="11"/>
        <v>0</v>
      </c>
      <c r="G150" s="387">
        <f t="shared" si="11"/>
        <v>0</v>
      </c>
      <c r="H150" s="387">
        <f t="shared" si="11"/>
        <v>0</v>
      </c>
      <c r="I150" s="387">
        <f t="shared" si="11"/>
        <v>0</v>
      </c>
      <c r="J150" s="385">
        <f t="shared" si="12"/>
        <v>0</v>
      </c>
    </row>
    <row r="151" spans="1:10" hidden="1" x14ac:dyDescent="0.25">
      <c r="A151" s="705"/>
      <c r="B151" s="706"/>
      <c r="C151" s="706"/>
      <c r="D151" s="707"/>
      <c r="E151" s="156">
        <v>3</v>
      </c>
      <c r="F151" s="387">
        <f t="shared" si="11"/>
        <v>0</v>
      </c>
      <c r="G151" s="387">
        <f t="shared" si="11"/>
        <v>0</v>
      </c>
      <c r="H151" s="387">
        <f t="shared" si="11"/>
        <v>0</v>
      </c>
      <c r="I151" s="387">
        <f t="shared" si="11"/>
        <v>0</v>
      </c>
      <c r="J151" s="385">
        <f t="shared" si="12"/>
        <v>0</v>
      </c>
    </row>
    <row r="152" spans="1:10" hidden="1" x14ac:dyDescent="0.25">
      <c r="A152" s="705"/>
      <c r="B152" s="706"/>
      <c r="C152" s="706"/>
      <c r="D152" s="707"/>
      <c r="E152" s="156">
        <v>4</v>
      </c>
      <c r="F152" s="387">
        <f t="shared" si="11"/>
        <v>0</v>
      </c>
      <c r="G152" s="387">
        <f t="shared" si="11"/>
        <v>0</v>
      </c>
      <c r="H152" s="387">
        <f t="shared" si="11"/>
        <v>0</v>
      </c>
      <c r="I152" s="387">
        <f t="shared" si="11"/>
        <v>0</v>
      </c>
      <c r="J152" s="385">
        <f t="shared" si="12"/>
        <v>0</v>
      </c>
    </row>
    <row r="153" spans="1:10" hidden="1" x14ac:dyDescent="0.25">
      <c r="A153" s="705"/>
      <c r="B153" s="706"/>
      <c r="C153" s="706"/>
      <c r="D153" s="707"/>
      <c r="E153" s="156">
        <v>5</v>
      </c>
      <c r="F153" s="387">
        <f t="shared" si="11"/>
        <v>0</v>
      </c>
      <c r="G153" s="387">
        <f t="shared" si="11"/>
        <v>0</v>
      </c>
      <c r="H153" s="387">
        <f t="shared" si="11"/>
        <v>0</v>
      </c>
      <c r="I153" s="387">
        <f t="shared" si="11"/>
        <v>0</v>
      </c>
      <c r="J153" s="385">
        <f t="shared" si="12"/>
        <v>0</v>
      </c>
    </row>
    <row r="154" spans="1:10" hidden="1" x14ac:dyDescent="0.25">
      <c r="A154" s="705"/>
      <c r="B154" s="706"/>
      <c r="C154" s="706"/>
      <c r="D154" s="707"/>
      <c r="E154" s="156">
        <v>6</v>
      </c>
      <c r="F154" s="387">
        <f t="shared" si="11"/>
        <v>0</v>
      </c>
      <c r="G154" s="387">
        <f t="shared" si="11"/>
        <v>0</v>
      </c>
      <c r="H154" s="387">
        <f t="shared" si="11"/>
        <v>0</v>
      </c>
      <c r="I154" s="387">
        <f t="shared" si="11"/>
        <v>0</v>
      </c>
      <c r="J154" s="385">
        <f t="shared" si="12"/>
        <v>0</v>
      </c>
    </row>
    <row r="155" spans="1:10" hidden="1" x14ac:dyDescent="0.25">
      <c r="A155" s="705"/>
      <c r="B155" s="706"/>
      <c r="C155" s="706"/>
      <c r="D155" s="707"/>
      <c r="E155" s="156">
        <v>7</v>
      </c>
      <c r="F155" s="387">
        <f t="shared" si="11"/>
        <v>0</v>
      </c>
      <c r="G155" s="387">
        <f t="shared" si="11"/>
        <v>0</v>
      </c>
      <c r="H155" s="387">
        <f t="shared" si="11"/>
        <v>0</v>
      </c>
      <c r="I155" s="387">
        <f t="shared" si="11"/>
        <v>0</v>
      </c>
      <c r="J155" s="385">
        <f t="shared" si="12"/>
        <v>0</v>
      </c>
    </row>
    <row r="156" spans="1:10" hidden="1" x14ac:dyDescent="0.25">
      <c r="A156" s="705"/>
      <c r="B156" s="706"/>
      <c r="C156" s="706"/>
      <c r="D156" s="707"/>
      <c r="E156" s="156">
        <v>8</v>
      </c>
      <c r="F156" s="387">
        <f t="shared" si="11"/>
        <v>0</v>
      </c>
      <c r="G156" s="387">
        <f t="shared" si="11"/>
        <v>0</v>
      </c>
      <c r="H156" s="387">
        <f t="shared" si="11"/>
        <v>0</v>
      </c>
      <c r="I156" s="387">
        <f t="shared" si="11"/>
        <v>0</v>
      </c>
      <c r="J156" s="385">
        <f t="shared" si="12"/>
        <v>0</v>
      </c>
    </row>
    <row r="157" spans="1:10" hidden="1" x14ac:dyDescent="0.25">
      <c r="A157" s="705"/>
      <c r="B157" s="706"/>
      <c r="C157" s="706"/>
      <c r="D157" s="707"/>
      <c r="E157" s="156">
        <v>9</v>
      </c>
      <c r="F157" s="387">
        <f t="shared" si="11"/>
        <v>0</v>
      </c>
      <c r="G157" s="387">
        <f t="shared" si="11"/>
        <v>0</v>
      </c>
      <c r="H157" s="387">
        <f t="shared" si="11"/>
        <v>0</v>
      </c>
      <c r="I157" s="387">
        <f t="shared" si="11"/>
        <v>0</v>
      </c>
      <c r="J157" s="385">
        <f t="shared" si="12"/>
        <v>0</v>
      </c>
    </row>
    <row r="158" spans="1:10" hidden="1" x14ac:dyDescent="0.25">
      <c r="A158" s="705"/>
      <c r="B158" s="706"/>
      <c r="C158" s="706"/>
      <c r="D158" s="707"/>
      <c r="E158" s="156">
        <v>10</v>
      </c>
      <c r="F158" s="387">
        <f t="shared" si="11"/>
        <v>0</v>
      </c>
      <c r="G158" s="387">
        <f t="shared" si="11"/>
        <v>0</v>
      </c>
      <c r="H158" s="387">
        <f t="shared" si="11"/>
        <v>0</v>
      </c>
      <c r="I158" s="387">
        <f t="shared" si="11"/>
        <v>0</v>
      </c>
      <c r="J158" s="385">
        <f t="shared" si="12"/>
        <v>0</v>
      </c>
    </row>
    <row r="159" spans="1:10" hidden="1" x14ac:dyDescent="0.25">
      <c r="A159" s="705"/>
      <c r="B159" s="706"/>
      <c r="C159" s="706"/>
      <c r="D159" s="707"/>
      <c r="E159" s="156">
        <v>11</v>
      </c>
      <c r="F159" s="387">
        <f t="shared" si="11"/>
        <v>0</v>
      </c>
      <c r="G159" s="387">
        <f t="shared" si="11"/>
        <v>0</v>
      </c>
      <c r="H159" s="387">
        <f t="shared" si="11"/>
        <v>0</v>
      </c>
      <c r="I159" s="387">
        <f t="shared" si="11"/>
        <v>0</v>
      </c>
      <c r="J159" s="385">
        <f t="shared" si="12"/>
        <v>0</v>
      </c>
    </row>
    <row r="160" spans="1:10" ht="15.75" hidden="1" thickBot="1" x14ac:dyDescent="0.3">
      <c r="A160" s="753"/>
      <c r="B160" s="754"/>
      <c r="C160" s="754"/>
      <c r="D160" s="755"/>
      <c r="E160" s="157">
        <v>12</v>
      </c>
      <c r="F160" s="379">
        <f t="shared" si="11"/>
        <v>0</v>
      </c>
      <c r="G160" s="379">
        <f t="shared" si="11"/>
        <v>0</v>
      </c>
      <c r="H160" s="379">
        <f t="shared" si="11"/>
        <v>0</v>
      </c>
      <c r="I160" s="379">
        <f t="shared" si="11"/>
        <v>0</v>
      </c>
      <c r="J160" s="384">
        <f t="shared" si="12"/>
        <v>0</v>
      </c>
    </row>
    <row r="161" spans="1:10" hidden="1" x14ac:dyDescent="0.25">
      <c r="A161" s="756" t="s">
        <v>16</v>
      </c>
      <c r="B161" s="757"/>
      <c r="C161" s="757"/>
      <c r="D161" s="757"/>
      <c r="E161" s="155">
        <v>0</v>
      </c>
      <c r="F161" s="382">
        <f t="shared" si="11"/>
        <v>0</v>
      </c>
      <c r="G161" s="382">
        <f t="shared" si="11"/>
        <v>0</v>
      </c>
      <c r="H161" s="382">
        <f t="shared" si="11"/>
        <v>0</v>
      </c>
      <c r="I161" s="382">
        <f t="shared" si="11"/>
        <v>0</v>
      </c>
      <c r="J161" s="381">
        <f>G19</f>
        <v>0</v>
      </c>
    </row>
    <row r="162" spans="1:10" hidden="1" x14ac:dyDescent="0.25">
      <c r="A162" s="758"/>
      <c r="B162" s="715"/>
      <c r="C162" s="715"/>
      <c r="D162" s="715"/>
      <c r="E162" s="156">
        <v>1</v>
      </c>
      <c r="F162" s="387">
        <f t="shared" si="11"/>
        <v>0</v>
      </c>
      <c r="G162" s="387">
        <f t="shared" si="11"/>
        <v>0</v>
      </c>
      <c r="H162" s="387">
        <f t="shared" si="11"/>
        <v>0</v>
      </c>
      <c r="I162" s="387">
        <f t="shared" si="11"/>
        <v>0</v>
      </c>
      <c r="J162" s="385">
        <f t="shared" ref="J162:J173" si="13">G20</f>
        <v>0</v>
      </c>
    </row>
    <row r="163" spans="1:10" hidden="1" x14ac:dyDescent="0.25">
      <c r="A163" s="758"/>
      <c r="B163" s="715"/>
      <c r="C163" s="715"/>
      <c r="D163" s="715"/>
      <c r="E163" s="156">
        <v>2</v>
      </c>
      <c r="F163" s="387">
        <f t="shared" si="11"/>
        <v>0</v>
      </c>
      <c r="G163" s="387">
        <f t="shared" si="11"/>
        <v>0</v>
      </c>
      <c r="H163" s="387">
        <f t="shared" si="11"/>
        <v>0</v>
      </c>
      <c r="I163" s="387">
        <f t="shared" si="11"/>
        <v>0</v>
      </c>
      <c r="J163" s="385">
        <f t="shared" si="13"/>
        <v>0</v>
      </c>
    </row>
    <row r="164" spans="1:10" hidden="1" x14ac:dyDescent="0.25">
      <c r="A164" s="758"/>
      <c r="B164" s="715"/>
      <c r="C164" s="715"/>
      <c r="D164" s="715"/>
      <c r="E164" s="156">
        <v>3</v>
      </c>
      <c r="F164" s="387">
        <f t="shared" si="11"/>
        <v>0</v>
      </c>
      <c r="G164" s="387">
        <f t="shared" si="11"/>
        <v>0</v>
      </c>
      <c r="H164" s="387">
        <f t="shared" si="11"/>
        <v>0</v>
      </c>
      <c r="I164" s="387">
        <f t="shared" si="11"/>
        <v>0</v>
      </c>
      <c r="J164" s="385">
        <f t="shared" si="13"/>
        <v>0</v>
      </c>
    </row>
    <row r="165" spans="1:10" hidden="1" x14ac:dyDescent="0.25">
      <c r="A165" s="758"/>
      <c r="B165" s="715"/>
      <c r="C165" s="715"/>
      <c r="D165" s="715"/>
      <c r="E165" s="156">
        <v>4</v>
      </c>
      <c r="F165" s="387">
        <f t="shared" si="11"/>
        <v>0</v>
      </c>
      <c r="G165" s="387">
        <f t="shared" si="11"/>
        <v>0</v>
      </c>
      <c r="H165" s="387">
        <f t="shared" si="11"/>
        <v>0</v>
      </c>
      <c r="I165" s="387">
        <f t="shared" si="11"/>
        <v>0</v>
      </c>
      <c r="J165" s="385">
        <f t="shared" si="13"/>
        <v>0</v>
      </c>
    </row>
    <row r="166" spans="1:10" hidden="1" x14ac:dyDescent="0.25">
      <c r="A166" s="758"/>
      <c r="B166" s="715"/>
      <c r="C166" s="715"/>
      <c r="D166" s="715"/>
      <c r="E166" s="156">
        <v>5</v>
      </c>
      <c r="F166" s="387">
        <f t="shared" si="11"/>
        <v>0</v>
      </c>
      <c r="G166" s="387">
        <f t="shared" si="11"/>
        <v>0</v>
      </c>
      <c r="H166" s="387">
        <f t="shared" si="11"/>
        <v>0</v>
      </c>
      <c r="I166" s="387">
        <f t="shared" si="11"/>
        <v>0</v>
      </c>
      <c r="J166" s="385">
        <f t="shared" si="13"/>
        <v>0</v>
      </c>
    </row>
    <row r="167" spans="1:10" hidden="1" x14ac:dyDescent="0.25">
      <c r="A167" s="758"/>
      <c r="B167" s="715"/>
      <c r="C167" s="715"/>
      <c r="D167" s="715"/>
      <c r="E167" s="156">
        <v>6</v>
      </c>
      <c r="F167" s="387">
        <f t="shared" ref="F167:I173" si="14">F96*$J167</f>
        <v>0</v>
      </c>
      <c r="G167" s="387">
        <f t="shared" si="14"/>
        <v>0</v>
      </c>
      <c r="H167" s="387">
        <f t="shared" si="14"/>
        <v>0</v>
      </c>
      <c r="I167" s="387">
        <f t="shared" si="14"/>
        <v>0</v>
      </c>
      <c r="J167" s="385">
        <f t="shared" si="13"/>
        <v>0</v>
      </c>
    </row>
    <row r="168" spans="1:10" hidden="1" x14ac:dyDescent="0.25">
      <c r="A168" s="758"/>
      <c r="B168" s="715"/>
      <c r="C168" s="715"/>
      <c r="D168" s="715"/>
      <c r="E168" s="156">
        <v>7</v>
      </c>
      <c r="F168" s="387">
        <f t="shared" si="14"/>
        <v>0</v>
      </c>
      <c r="G168" s="387">
        <f t="shared" si="14"/>
        <v>0</v>
      </c>
      <c r="H168" s="387">
        <f t="shared" si="14"/>
        <v>0</v>
      </c>
      <c r="I168" s="387">
        <f t="shared" si="14"/>
        <v>0</v>
      </c>
      <c r="J168" s="385">
        <f t="shared" si="13"/>
        <v>0</v>
      </c>
    </row>
    <row r="169" spans="1:10" hidden="1" x14ac:dyDescent="0.25">
      <c r="A169" s="758"/>
      <c r="B169" s="715"/>
      <c r="C169" s="715"/>
      <c r="D169" s="715"/>
      <c r="E169" s="156">
        <v>8</v>
      </c>
      <c r="F169" s="387">
        <f t="shared" si="14"/>
        <v>0</v>
      </c>
      <c r="G169" s="387">
        <f t="shared" si="14"/>
        <v>0</v>
      </c>
      <c r="H169" s="387">
        <f t="shared" si="14"/>
        <v>0</v>
      </c>
      <c r="I169" s="387">
        <f t="shared" si="14"/>
        <v>0</v>
      </c>
      <c r="J169" s="385">
        <f t="shared" si="13"/>
        <v>0</v>
      </c>
    </row>
    <row r="170" spans="1:10" hidden="1" x14ac:dyDescent="0.25">
      <c r="A170" s="758"/>
      <c r="B170" s="715"/>
      <c r="C170" s="715"/>
      <c r="D170" s="715"/>
      <c r="E170" s="156">
        <v>9</v>
      </c>
      <c r="F170" s="387">
        <f t="shared" si="14"/>
        <v>0</v>
      </c>
      <c r="G170" s="387">
        <f t="shared" si="14"/>
        <v>0</v>
      </c>
      <c r="H170" s="387">
        <f t="shared" si="14"/>
        <v>0</v>
      </c>
      <c r="I170" s="387">
        <f t="shared" si="14"/>
        <v>0</v>
      </c>
      <c r="J170" s="385">
        <f t="shared" si="13"/>
        <v>0</v>
      </c>
    </row>
    <row r="171" spans="1:10" hidden="1" x14ac:dyDescent="0.25">
      <c r="A171" s="758"/>
      <c r="B171" s="715"/>
      <c r="C171" s="715"/>
      <c r="D171" s="715"/>
      <c r="E171" s="156">
        <v>10</v>
      </c>
      <c r="F171" s="387">
        <f t="shared" si="14"/>
        <v>0</v>
      </c>
      <c r="G171" s="387">
        <f t="shared" si="14"/>
        <v>0</v>
      </c>
      <c r="H171" s="387">
        <f t="shared" si="14"/>
        <v>0</v>
      </c>
      <c r="I171" s="387">
        <f t="shared" si="14"/>
        <v>0</v>
      </c>
      <c r="J171" s="385">
        <f t="shared" si="13"/>
        <v>0</v>
      </c>
    </row>
    <row r="172" spans="1:10" hidden="1" x14ac:dyDescent="0.25">
      <c r="A172" s="758"/>
      <c r="B172" s="715"/>
      <c r="C172" s="715"/>
      <c r="D172" s="715"/>
      <c r="E172" s="156">
        <v>11</v>
      </c>
      <c r="F172" s="387">
        <f t="shared" si="14"/>
        <v>0</v>
      </c>
      <c r="G172" s="387">
        <f t="shared" si="14"/>
        <v>0</v>
      </c>
      <c r="H172" s="387">
        <f t="shared" si="14"/>
        <v>0</v>
      </c>
      <c r="I172" s="387">
        <f t="shared" si="14"/>
        <v>0</v>
      </c>
      <c r="J172" s="385">
        <f t="shared" si="13"/>
        <v>0</v>
      </c>
    </row>
    <row r="173" spans="1:10" ht="15.75" hidden="1" thickBot="1" x14ac:dyDescent="0.3">
      <c r="A173" s="759"/>
      <c r="B173" s="760"/>
      <c r="C173" s="760"/>
      <c r="D173" s="760"/>
      <c r="E173" s="157">
        <v>12</v>
      </c>
      <c r="F173" s="379">
        <f t="shared" si="14"/>
        <v>0</v>
      </c>
      <c r="G173" s="379">
        <f t="shared" si="14"/>
        <v>0</v>
      </c>
      <c r="H173" s="379">
        <f t="shared" si="14"/>
        <v>0</v>
      </c>
      <c r="I173" s="379">
        <f t="shared" si="14"/>
        <v>0</v>
      </c>
      <c r="J173" s="384">
        <f t="shared" si="13"/>
        <v>0</v>
      </c>
    </row>
    <row r="175" spans="1:10" ht="15.75" thickBot="1" x14ac:dyDescent="0.3">
      <c r="A175" s="27" t="s">
        <v>688</v>
      </c>
      <c r="B175" s="27" t="s">
        <v>132</v>
      </c>
    </row>
    <row r="176" spans="1:10" x14ac:dyDescent="0.25">
      <c r="A176" s="763" t="s">
        <v>7</v>
      </c>
      <c r="B176" s="764"/>
      <c r="C176" s="764"/>
      <c r="D176" s="764"/>
      <c r="E176" s="716" t="s">
        <v>119</v>
      </c>
      <c r="F176" s="711" t="s">
        <v>5</v>
      </c>
      <c r="G176" s="712"/>
      <c r="H176" s="711" t="s">
        <v>6</v>
      </c>
      <c r="I176" s="761"/>
      <c r="J176" s="742"/>
    </row>
    <row r="177" spans="1:10" x14ac:dyDescent="0.25">
      <c r="A177" s="765"/>
      <c r="B177" s="591"/>
      <c r="C177" s="591"/>
      <c r="D177" s="591"/>
      <c r="E177" s="717"/>
      <c r="F177" s="72" t="s">
        <v>8</v>
      </c>
      <c r="G177" s="72" t="s">
        <v>9</v>
      </c>
      <c r="H177" s="72" t="s">
        <v>8</v>
      </c>
      <c r="I177" s="166" t="s">
        <v>9</v>
      </c>
      <c r="J177" s="742"/>
    </row>
    <row r="178" spans="1:10" hidden="1" x14ac:dyDescent="0.25">
      <c r="A178" s="702" t="s">
        <v>127</v>
      </c>
      <c r="B178" s="703"/>
      <c r="C178" s="703"/>
      <c r="D178" s="704"/>
      <c r="E178" s="165">
        <v>0</v>
      </c>
      <c r="F178" s="124" t="str">
        <f>IFERROR(F107*'2.1.b Veículos'!D$48,"")</f>
        <v/>
      </c>
      <c r="G178" s="124" t="str">
        <f>IFERROR(G107*'2.1.b Veículos'!E$48,"")</f>
        <v/>
      </c>
      <c r="H178" s="124" t="str">
        <f>IFERROR(H107*'2.1.b Veículos'!F$48,"")</f>
        <v/>
      </c>
      <c r="I178" s="124" t="str">
        <f>IFERROR(I107*'2.1.b Veículos'!G$48,"")</f>
        <v/>
      </c>
      <c r="J178" s="305"/>
    </row>
    <row r="179" spans="1:10" hidden="1" x14ac:dyDescent="0.25">
      <c r="A179" s="705"/>
      <c r="B179" s="706"/>
      <c r="C179" s="706"/>
      <c r="D179" s="707"/>
      <c r="E179" s="156">
        <v>1</v>
      </c>
      <c r="F179" s="124" t="str">
        <f>IFERROR(F108*'2.1.b Veículos'!D$48,"")</f>
        <v/>
      </c>
      <c r="G179" s="124" t="str">
        <f>IFERROR(G108*'2.1.b Veículos'!E$48,"")</f>
        <v/>
      </c>
      <c r="H179" s="124" t="str">
        <f>IFERROR(H108*'2.1.b Veículos'!F$48,"")</f>
        <v/>
      </c>
      <c r="I179" s="124" t="str">
        <f>IFERROR(I108*'2.1.b Veículos'!G$48,"")</f>
        <v/>
      </c>
      <c r="J179" s="305"/>
    </row>
    <row r="180" spans="1:10" hidden="1" x14ac:dyDescent="0.25">
      <c r="A180" s="705"/>
      <c r="B180" s="706"/>
      <c r="C180" s="706"/>
      <c r="D180" s="707"/>
      <c r="E180" s="156">
        <v>2</v>
      </c>
      <c r="F180" s="124" t="str">
        <f>IFERROR(F109*'2.1.b Veículos'!D$48,"")</f>
        <v/>
      </c>
      <c r="G180" s="124" t="str">
        <f>IFERROR(G109*'2.1.b Veículos'!E$48,"")</f>
        <v/>
      </c>
      <c r="H180" s="124" t="str">
        <f>IFERROR(H109*'2.1.b Veículos'!F$48,"")</f>
        <v/>
      </c>
      <c r="I180" s="124" t="str">
        <f>IFERROR(I109*'2.1.b Veículos'!G$48,"")</f>
        <v/>
      </c>
      <c r="J180" s="305"/>
    </row>
    <row r="181" spans="1:10" hidden="1" x14ac:dyDescent="0.25">
      <c r="A181" s="705"/>
      <c r="B181" s="706"/>
      <c r="C181" s="706"/>
      <c r="D181" s="707"/>
      <c r="E181" s="156">
        <v>3</v>
      </c>
      <c r="F181" s="124" t="str">
        <f>IFERROR(F110*'2.1.b Veículos'!D$48,"")</f>
        <v/>
      </c>
      <c r="G181" s="124" t="str">
        <f>IFERROR(G110*'2.1.b Veículos'!E$48,"")</f>
        <v/>
      </c>
      <c r="H181" s="124" t="str">
        <f>IFERROR(H110*'2.1.b Veículos'!F$48,"")</f>
        <v/>
      </c>
      <c r="I181" s="124" t="str">
        <f>IFERROR(I110*'2.1.b Veículos'!G$48,"")</f>
        <v/>
      </c>
      <c r="J181" s="305"/>
    </row>
    <row r="182" spans="1:10" hidden="1" x14ac:dyDescent="0.25">
      <c r="A182" s="705"/>
      <c r="B182" s="706"/>
      <c r="C182" s="706"/>
      <c r="D182" s="707"/>
      <c r="E182" s="156">
        <v>4</v>
      </c>
      <c r="F182" s="124" t="str">
        <f>IFERROR(F111*'2.1.b Veículos'!D$48,"")</f>
        <v/>
      </c>
      <c r="G182" s="124" t="str">
        <f>IFERROR(G111*'2.1.b Veículos'!E$48,"")</f>
        <v/>
      </c>
      <c r="H182" s="124" t="str">
        <f>IFERROR(H111*'2.1.b Veículos'!F$48,"")</f>
        <v/>
      </c>
      <c r="I182" s="124" t="str">
        <f>IFERROR(I111*'2.1.b Veículos'!G$48,"")</f>
        <v/>
      </c>
      <c r="J182" s="305"/>
    </row>
    <row r="183" spans="1:10" hidden="1" x14ac:dyDescent="0.25">
      <c r="A183" s="708"/>
      <c r="B183" s="709"/>
      <c r="C183" s="709"/>
      <c r="D183" s="710"/>
      <c r="E183" s="156">
        <v>5</v>
      </c>
      <c r="F183" s="124" t="str">
        <f>IFERROR(F112*'2.1.b Veículos'!D$48,"")</f>
        <v/>
      </c>
      <c r="G183" s="124" t="str">
        <f>IFERROR(G112*'2.1.b Veículos'!E$48,"")</f>
        <v/>
      </c>
      <c r="H183" s="124" t="str">
        <f>IFERROR(H112*'2.1.b Veículos'!F$48,"")</f>
        <v/>
      </c>
      <c r="I183" s="124" t="str">
        <f>IFERROR(I112*'2.1.b Veículos'!G$48,"")</f>
        <v/>
      </c>
      <c r="J183" s="305"/>
    </row>
    <row r="184" spans="1:10" hidden="1" x14ac:dyDescent="0.25">
      <c r="A184" s="702" t="s">
        <v>11</v>
      </c>
      <c r="B184" s="703"/>
      <c r="C184" s="703"/>
      <c r="D184" s="704"/>
      <c r="E184" s="156">
        <v>0</v>
      </c>
      <c r="F184" s="124" t="str">
        <f>IFERROR(F113*'2.1.b Veículos'!D$49,"")</f>
        <v/>
      </c>
      <c r="G184" s="124" t="str">
        <f>IFERROR(G113*'2.1.b Veículos'!E$49,"")</f>
        <v/>
      </c>
      <c r="H184" s="124" t="str">
        <f>IFERROR(H113*'2.1.b Veículos'!F$49,"")</f>
        <v/>
      </c>
      <c r="I184" s="124" t="str">
        <f>IFERROR(I113*'2.1.b Veículos'!G$49,"")</f>
        <v/>
      </c>
      <c r="J184" s="305"/>
    </row>
    <row r="185" spans="1:10" hidden="1" x14ac:dyDescent="0.25">
      <c r="A185" s="705"/>
      <c r="B185" s="706"/>
      <c r="C185" s="706"/>
      <c r="D185" s="707"/>
      <c r="E185" s="156">
        <v>1</v>
      </c>
      <c r="F185" s="124" t="str">
        <f>IFERROR(F114*'2.1.b Veículos'!D$49,"")</f>
        <v/>
      </c>
      <c r="G185" s="124" t="str">
        <f>IFERROR(G114*'2.1.b Veículos'!E$49,"")</f>
        <v/>
      </c>
      <c r="H185" s="124" t="str">
        <f>IFERROR(H114*'2.1.b Veículos'!F$49,"")</f>
        <v/>
      </c>
      <c r="I185" s="124" t="str">
        <f>IFERROR(I114*'2.1.b Veículos'!G$49,"")</f>
        <v/>
      </c>
      <c r="J185" s="305"/>
    </row>
    <row r="186" spans="1:10" hidden="1" x14ac:dyDescent="0.25">
      <c r="A186" s="705"/>
      <c r="B186" s="706"/>
      <c r="C186" s="706"/>
      <c r="D186" s="707"/>
      <c r="E186" s="156">
        <v>2</v>
      </c>
      <c r="F186" s="124" t="str">
        <f>IFERROR(F115*'2.1.b Veículos'!D$49,"")</f>
        <v/>
      </c>
      <c r="G186" s="124" t="str">
        <f>IFERROR(G115*'2.1.b Veículos'!E$49,"")</f>
        <v/>
      </c>
      <c r="H186" s="124" t="str">
        <f>IFERROR(H115*'2.1.b Veículos'!F$49,"")</f>
        <v/>
      </c>
      <c r="I186" s="124" t="str">
        <f>IFERROR(I115*'2.1.b Veículos'!G$49,"")</f>
        <v/>
      </c>
      <c r="J186" s="305"/>
    </row>
    <row r="187" spans="1:10" hidden="1" x14ac:dyDescent="0.25">
      <c r="A187" s="705"/>
      <c r="B187" s="706"/>
      <c r="C187" s="706"/>
      <c r="D187" s="707"/>
      <c r="E187" s="156">
        <v>3</v>
      </c>
      <c r="F187" s="124" t="str">
        <f>IFERROR(F116*'2.1.b Veículos'!D$49,"")</f>
        <v/>
      </c>
      <c r="G187" s="124" t="str">
        <f>IFERROR(G116*'2.1.b Veículos'!E$49,"")</f>
        <v/>
      </c>
      <c r="H187" s="124" t="str">
        <f>IFERROR(H116*'2.1.b Veículos'!F$49,"")</f>
        <v/>
      </c>
      <c r="I187" s="124" t="str">
        <f>IFERROR(I116*'2.1.b Veículos'!G$49,"")</f>
        <v/>
      </c>
      <c r="J187" s="305"/>
    </row>
    <row r="188" spans="1:10" hidden="1" x14ac:dyDescent="0.25">
      <c r="A188" s="705"/>
      <c r="B188" s="706"/>
      <c r="C188" s="706"/>
      <c r="D188" s="707"/>
      <c r="E188" s="156">
        <v>4</v>
      </c>
      <c r="F188" s="124" t="str">
        <f>IFERROR(F117*'2.1.b Veículos'!D$49,"")</f>
        <v/>
      </c>
      <c r="G188" s="124" t="str">
        <f>IFERROR(G117*'2.1.b Veículos'!E$49,"")</f>
        <v/>
      </c>
      <c r="H188" s="124" t="str">
        <f>IFERROR(H117*'2.1.b Veículos'!F$49,"")</f>
        <v/>
      </c>
      <c r="I188" s="124" t="str">
        <f>IFERROR(I117*'2.1.b Veículos'!G$49,"")</f>
        <v/>
      </c>
      <c r="J188" s="305"/>
    </row>
    <row r="189" spans="1:10" hidden="1" x14ac:dyDescent="0.25">
      <c r="A189" s="708"/>
      <c r="B189" s="709"/>
      <c r="C189" s="709"/>
      <c r="D189" s="710"/>
      <c r="E189" s="156">
        <v>5</v>
      </c>
      <c r="F189" s="124" t="str">
        <f>IFERROR(F118*'2.1.b Veículos'!D$49,"")</f>
        <v/>
      </c>
      <c r="G189" s="124" t="str">
        <f>IFERROR(G118*'2.1.b Veículos'!E$49,"")</f>
        <v/>
      </c>
      <c r="H189" s="124" t="str">
        <f>IFERROR(H118*'2.1.b Veículos'!F$49,"")</f>
        <v/>
      </c>
      <c r="I189" s="124" t="str">
        <f>IFERROR(I118*'2.1.b Veículos'!G$49,"")</f>
        <v/>
      </c>
      <c r="J189" s="305"/>
    </row>
    <row r="190" spans="1:10" hidden="1" x14ac:dyDescent="0.25">
      <c r="A190" s="702" t="s">
        <v>12</v>
      </c>
      <c r="B190" s="703"/>
      <c r="C190" s="703"/>
      <c r="D190" s="704"/>
      <c r="E190" s="156">
        <v>0</v>
      </c>
      <c r="F190" s="124" t="str">
        <f>IFERROR(F119*'2.1.b Veículos'!D$50,"")</f>
        <v/>
      </c>
      <c r="G190" s="124" t="str">
        <f>IFERROR(G119*'2.1.b Veículos'!E$50,"")</f>
        <v/>
      </c>
      <c r="H190" s="124" t="str">
        <f>IFERROR(H119*'2.1.b Veículos'!F$50,"")</f>
        <v/>
      </c>
      <c r="I190" s="124" t="str">
        <f>IFERROR(I119*'2.1.b Veículos'!G$50,"")</f>
        <v/>
      </c>
      <c r="J190" s="305"/>
    </row>
    <row r="191" spans="1:10" hidden="1" x14ac:dyDescent="0.25">
      <c r="A191" s="705"/>
      <c r="B191" s="706"/>
      <c r="C191" s="706"/>
      <c r="D191" s="707"/>
      <c r="E191" s="156">
        <v>1</v>
      </c>
      <c r="F191" s="124" t="str">
        <f>IFERROR(F120*'2.1.b Veículos'!D$50,"")</f>
        <v/>
      </c>
      <c r="G191" s="124" t="str">
        <f>IFERROR(G120*'2.1.b Veículos'!E$50,"")</f>
        <v/>
      </c>
      <c r="H191" s="124" t="str">
        <f>IFERROR(H120*'2.1.b Veículos'!F$50,"")</f>
        <v/>
      </c>
      <c r="I191" s="124" t="str">
        <f>IFERROR(I120*'2.1.b Veículos'!G$50,"")</f>
        <v/>
      </c>
      <c r="J191" s="305"/>
    </row>
    <row r="192" spans="1:10" hidden="1" x14ac:dyDescent="0.25">
      <c r="A192" s="705"/>
      <c r="B192" s="706"/>
      <c r="C192" s="706"/>
      <c r="D192" s="707"/>
      <c r="E192" s="156">
        <v>2</v>
      </c>
      <c r="F192" s="124" t="str">
        <f>IFERROR(F121*'2.1.b Veículos'!D$50,"")</f>
        <v/>
      </c>
      <c r="G192" s="124" t="str">
        <f>IFERROR(G121*'2.1.b Veículos'!E$50,"")</f>
        <v/>
      </c>
      <c r="H192" s="124" t="str">
        <f>IFERROR(H121*'2.1.b Veículos'!F$50,"")</f>
        <v/>
      </c>
      <c r="I192" s="124" t="str">
        <f>IFERROR(I121*'2.1.b Veículos'!G$50,"")</f>
        <v/>
      </c>
      <c r="J192" s="305"/>
    </row>
    <row r="193" spans="1:10" hidden="1" x14ac:dyDescent="0.25">
      <c r="A193" s="705"/>
      <c r="B193" s="706"/>
      <c r="C193" s="706"/>
      <c r="D193" s="707"/>
      <c r="E193" s="156">
        <v>3</v>
      </c>
      <c r="F193" s="124" t="str">
        <f>IFERROR(F122*'2.1.b Veículos'!D$50,"")</f>
        <v/>
      </c>
      <c r="G193" s="124" t="str">
        <f>IFERROR(G122*'2.1.b Veículos'!E$50,"")</f>
        <v/>
      </c>
      <c r="H193" s="124" t="str">
        <f>IFERROR(H122*'2.1.b Veículos'!F$50,"")</f>
        <v/>
      </c>
      <c r="I193" s="124" t="str">
        <f>IFERROR(I122*'2.1.b Veículos'!G$50,"")</f>
        <v/>
      </c>
      <c r="J193" s="305"/>
    </row>
    <row r="194" spans="1:10" hidden="1" x14ac:dyDescent="0.25">
      <c r="A194" s="705"/>
      <c r="B194" s="706"/>
      <c r="C194" s="706"/>
      <c r="D194" s="707"/>
      <c r="E194" s="156">
        <v>4</v>
      </c>
      <c r="F194" s="124" t="str">
        <f>IFERROR(F123*'2.1.b Veículos'!D$50,"")</f>
        <v/>
      </c>
      <c r="G194" s="124" t="str">
        <f>IFERROR(G123*'2.1.b Veículos'!E$50,"")</f>
        <v/>
      </c>
      <c r="H194" s="124" t="str">
        <f>IFERROR(H123*'2.1.b Veículos'!F$50,"")</f>
        <v/>
      </c>
      <c r="I194" s="124" t="str">
        <f>IFERROR(I123*'2.1.b Veículos'!G$50,"")</f>
        <v/>
      </c>
      <c r="J194" s="305"/>
    </row>
    <row r="195" spans="1:10" hidden="1" x14ac:dyDescent="0.25">
      <c r="A195" s="705"/>
      <c r="B195" s="706"/>
      <c r="C195" s="706"/>
      <c r="D195" s="707"/>
      <c r="E195" s="156">
        <v>5</v>
      </c>
      <c r="F195" s="124" t="str">
        <f>IFERROR(F124*'2.1.b Veículos'!D$50,"")</f>
        <v/>
      </c>
      <c r="G195" s="124" t="str">
        <f>IFERROR(G124*'2.1.b Veículos'!E$50,"")</f>
        <v/>
      </c>
      <c r="H195" s="124" t="str">
        <f>IFERROR(H124*'2.1.b Veículos'!F$50,"")</f>
        <v/>
      </c>
      <c r="I195" s="124" t="str">
        <f>IFERROR(I124*'2.1.b Veículos'!G$50,"")</f>
        <v/>
      </c>
      <c r="J195" s="305"/>
    </row>
    <row r="196" spans="1:10" hidden="1" x14ac:dyDescent="0.25">
      <c r="A196" s="705"/>
      <c r="B196" s="706"/>
      <c r="C196" s="706"/>
      <c r="D196" s="707"/>
      <c r="E196" s="156">
        <v>6</v>
      </c>
      <c r="F196" s="124" t="str">
        <f>IFERROR(F125*'2.1.b Veículos'!D$50,"")</f>
        <v/>
      </c>
      <c r="G196" s="124" t="str">
        <f>IFERROR(G125*'2.1.b Veículos'!E$50,"")</f>
        <v/>
      </c>
      <c r="H196" s="124" t="str">
        <f>IFERROR(H125*'2.1.b Veículos'!F$50,"")</f>
        <v/>
      </c>
      <c r="I196" s="124" t="str">
        <f>IFERROR(I125*'2.1.b Veículos'!G$50,"")</f>
        <v/>
      </c>
      <c r="J196" s="305"/>
    </row>
    <row r="197" spans="1:10" hidden="1" x14ac:dyDescent="0.25">
      <c r="A197" s="705"/>
      <c r="B197" s="706"/>
      <c r="C197" s="706"/>
      <c r="D197" s="707"/>
      <c r="E197" s="156">
        <v>7</v>
      </c>
      <c r="F197" s="124" t="str">
        <f>IFERROR(F126*'2.1.b Veículos'!D$50,"")</f>
        <v/>
      </c>
      <c r="G197" s="124" t="str">
        <f>IFERROR(G126*'2.1.b Veículos'!E$50,"")</f>
        <v/>
      </c>
      <c r="H197" s="124" t="str">
        <f>IFERROR(H126*'2.1.b Veículos'!F$50,"")</f>
        <v/>
      </c>
      <c r="I197" s="124" t="str">
        <f>IFERROR(I126*'2.1.b Veículos'!G$50,"")</f>
        <v/>
      </c>
      <c r="J197" s="305"/>
    </row>
    <row r="198" spans="1:10" hidden="1" x14ac:dyDescent="0.25">
      <c r="A198" s="708"/>
      <c r="B198" s="709"/>
      <c r="C198" s="709"/>
      <c r="D198" s="710"/>
      <c r="E198" s="156">
        <v>8</v>
      </c>
      <c r="F198" s="124" t="str">
        <f>IFERROR(F127*'2.1.b Veículos'!D$50,"")</f>
        <v/>
      </c>
      <c r="G198" s="124" t="str">
        <f>IFERROR(G127*'2.1.b Veículos'!E$50,"")</f>
        <v/>
      </c>
      <c r="H198" s="124" t="str">
        <f>IFERROR(H127*'2.1.b Veículos'!F$50,"")</f>
        <v/>
      </c>
      <c r="I198" s="124" t="str">
        <f>IFERROR(I127*'2.1.b Veículos'!G$50,"")</f>
        <v/>
      </c>
      <c r="J198" s="305"/>
    </row>
    <row r="199" spans="1:10" x14ac:dyDescent="0.25">
      <c r="A199" s="702" t="s">
        <v>13</v>
      </c>
      <c r="B199" s="703"/>
      <c r="C199" s="703"/>
      <c r="D199" s="704"/>
      <c r="E199" s="156">
        <v>0</v>
      </c>
      <c r="F199" s="124">
        <f>IFERROR(F128*'2.1.b Veículos'!D$51,"")</f>
        <v>0</v>
      </c>
      <c r="G199" s="124" t="str">
        <f>IFERROR(G128*'2.1.b Veículos'!E$51,"")</f>
        <v/>
      </c>
      <c r="H199" s="124">
        <f>IFERROR(H128*'2.1.b Veículos'!F$51,"")</f>
        <v>0</v>
      </c>
      <c r="I199" s="124" t="str">
        <f>IFERROR(I128*'2.1.b Veículos'!G$51,"")</f>
        <v/>
      </c>
      <c r="J199" s="305"/>
    </row>
    <row r="200" spans="1:10" x14ac:dyDescent="0.25">
      <c r="A200" s="705"/>
      <c r="B200" s="706"/>
      <c r="C200" s="706"/>
      <c r="D200" s="707"/>
      <c r="E200" s="156">
        <v>1</v>
      </c>
      <c r="F200" s="124">
        <f>IFERROR(F129*'2.1.b Veículos'!D$51,"")</f>
        <v>0</v>
      </c>
      <c r="G200" s="124" t="str">
        <f>IFERROR(G129*'2.1.b Veículos'!E$51,"")</f>
        <v/>
      </c>
      <c r="H200" s="124">
        <f>IFERROR(H129*'2.1.b Veículos'!F$51,"")</f>
        <v>0</v>
      </c>
      <c r="I200" s="124" t="str">
        <f>IFERROR(I129*'2.1.b Veículos'!G$51,"")</f>
        <v/>
      </c>
      <c r="J200" s="305"/>
    </row>
    <row r="201" spans="1:10" x14ac:dyDescent="0.25">
      <c r="A201" s="705"/>
      <c r="B201" s="706"/>
      <c r="C201" s="706"/>
      <c r="D201" s="707"/>
      <c r="E201" s="156">
        <v>2</v>
      </c>
      <c r="F201" s="124">
        <f>IFERROR(F130*'2.1.b Veículos'!D$51,"")</f>
        <v>0</v>
      </c>
      <c r="G201" s="124" t="str">
        <f>IFERROR(G130*'2.1.b Veículos'!E$51,"")</f>
        <v/>
      </c>
      <c r="H201" s="124">
        <f>IFERROR(H130*'2.1.b Veículos'!F$51,"")</f>
        <v>0</v>
      </c>
      <c r="I201" s="124" t="str">
        <f>IFERROR(I130*'2.1.b Veículos'!G$51,"")</f>
        <v/>
      </c>
      <c r="J201" s="305"/>
    </row>
    <row r="202" spans="1:10" x14ac:dyDescent="0.25">
      <c r="A202" s="705"/>
      <c r="B202" s="706"/>
      <c r="C202" s="706"/>
      <c r="D202" s="707"/>
      <c r="E202" s="156">
        <v>3</v>
      </c>
      <c r="F202" s="124">
        <f>IFERROR(F131*'2.1.b Veículos'!D$51,"")</f>
        <v>0</v>
      </c>
      <c r="G202" s="124" t="str">
        <f>IFERROR(G131*'2.1.b Veículos'!E$51,"")</f>
        <v/>
      </c>
      <c r="H202" s="124">
        <f>IFERROR(H131*'2.1.b Veículos'!F$51,"")</f>
        <v>0</v>
      </c>
      <c r="I202" s="124" t="str">
        <f>IFERROR(I131*'2.1.b Veículos'!G$51,"")</f>
        <v/>
      </c>
      <c r="J202" s="305"/>
    </row>
    <row r="203" spans="1:10" x14ac:dyDescent="0.25">
      <c r="A203" s="705"/>
      <c r="B203" s="706"/>
      <c r="C203" s="706"/>
      <c r="D203" s="707"/>
      <c r="E203" s="156">
        <v>4</v>
      </c>
      <c r="F203" s="124">
        <f>IFERROR(F132*'2.1.b Veículos'!D$51,"")</f>
        <v>0</v>
      </c>
      <c r="G203" s="124" t="str">
        <f>IFERROR(G132*'2.1.b Veículos'!E$51,"")</f>
        <v/>
      </c>
      <c r="H203" s="124">
        <f>IFERROR(H132*'2.1.b Veículos'!F$51,"")</f>
        <v>0</v>
      </c>
      <c r="I203" s="124" t="str">
        <f>IFERROR(I132*'2.1.b Veículos'!G$51,"")</f>
        <v/>
      </c>
      <c r="J203" s="305"/>
    </row>
    <row r="204" spans="1:10" x14ac:dyDescent="0.25">
      <c r="A204" s="705"/>
      <c r="B204" s="706"/>
      <c r="C204" s="706"/>
      <c r="D204" s="707"/>
      <c r="E204" s="156">
        <v>5</v>
      </c>
      <c r="F204" s="124">
        <f>IFERROR(F133*'2.1.b Veículos'!D$51,"")</f>
        <v>7884.0000000000018</v>
      </c>
      <c r="G204" s="124" t="str">
        <f>IFERROR(G133*'2.1.b Veículos'!E$51,"")</f>
        <v/>
      </c>
      <c r="H204" s="124">
        <f>IFERROR(H133*'2.1.b Veículos'!F$51,"")</f>
        <v>0</v>
      </c>
      <c r="I204" s="124" t="str">
        <f>IFERROR(I133*'2.1.b Veículos'!G$51,"")</f>
        <v/>
      </c>
      <c r="J204" s="305"/>
    </row>
    <row r="205" spans="1:10" x14ac:dyDescent="0.25">
      <c r="A205" s="705"/>
      <c r="B205" s="706"/>
      <c r="C205" s="706"/>
      <c r="D205" s="707"/>
      <c r="E205" s="156">
        <v>6</v>
      </c>
      <c r="F205" s="124">
        <f>IFERROR(F134*'2.1.b Veículos'!D$51,"")</f>
        <v>0</v>
      </c>
      <c r="G205" s="124" t="str">
        <f>IFERROR(G134*'2.1.b Veículos'!E$51,"")</f>
        <v/>
      </c>
      <c r="H205" s="124">
        <f>IFERROR(H134*'2.1.b Veículos'!F$51,"")</f>
        <v>6095.666666666667</v>
      </c>
      <c r="I205" s="124" t="str">
        <f>IFERROR(I134*'2.1.b Veículos'!G$51,"")</f>
        <v/>
      </c>
      <c r="J205" s="305"/>
    </row>
    <row r="206" spans="1:10" x14ac:dyDescent="0.25">
      <c r="A206" s="705"/>
      <c r="B206" s="706"/>
      <c r="C206" s="706"/>
      <c r="D206" s="707"/>
      <c r="E206" s="156">
        <v>7</v>
      </c>
      <c r="F206" s="124">
        <f>IFERROR(F135*'2.1.b Veículos'!D$51,"")</f>
        <v>0</v>
      </c>
      <c r="G206" s="124" t="str">
        <f>IFERROR(G135*'2.1.b Veículos'!E$51,"")</f>
        <v/>
      </c>
      <c r="H206" s="124">
        <f>IFERROR(H135*'2.1.b Veículos'!F$51,"")</f>
        <v>0</v>
      </c>
      <c r="I206" s="124" t="str">
        <f>IFERROR(I135*'2.1.b Veículos'!G$51,"")</f>
        <v/>
      </c>
      <c r="J206" s="305"/>
    </row>
    <row r="207" spans="1:10" x14ac:dyDescent="0.25">
      <c r="A207" s="708"/>
      <c r="B207" s="709"/>
      <c r="C207" s="709"/>
      <c r="D207" s="710"/>
      <c r="E207" s="156">
        <v>8</v>
      </c>
      <c r="F207" s="124">
        <f>IFERROR(F136*'2.1.b Veículos'!D$51,"")</f>
        <v>0</v>
      </c>
      <c r="G207" s="124" t="str">
        <f>IFERROR(G136*'2.1.b Veículos'!E$51,"")</f>
        <v/>
      </c>
      <c r="H207" s="124">
        <f>IFERROR(H136*'2.1.b Veículos'!F$51,"")</f>
        <v>0</v>
      </c>
      <c r="I207" s="124" t="str">
        <f>IFERROR(I136*'2.1.b Veículos'!G$51,"")</f>
        <v/>
      </c>
      <c r="J207" s="305"/>
    </row>
    <row r="208" spans="1:10" hidden="1" x14ac:dyDescent="0.25">
      <c r="A208" s="702" t="s">
        <v>14</v>
      </c>
      <c r="B208" s="703"/>
      <c r="C208" s="703"/>
      <c r="D208" s="704"/>
      <c r="E208" s="156">
        <v>0</v>
      </c>
      <c r="F208" s="124" t="str">
        <f>IFERROR(F137*'2.1.b Veículos'!D$52,"")</f>
        <v/>
      </c>
      <c r="G208" s="124" t="str">
        <f>IFERROR(G137*'2.1.b Veículos'!E$52,"")</f>
        <v/>
      </c>
      <c r="H208" s="124" t="str">
        <f>IFERROR(H137*'2.1.b Veículos'!F$52,"")</f>
        <v/>
      </c>
      <c r="I208" s="124" t="str">
        <f>IFERROR(I137*'2.1.b Veículos'!G$52,"")</f>
        <v/>
      </c>
      <c r="J208" s="305"/>
    </row>
    <row r="209" spans="1:10" hidden="1" x14ac:dyDescent="0.25">
      <c r="A209" s="705"/>
      <c r="B209" s="706"/>
      <c r="C209" s="706"/>
      <c r="D209" s="707"/>
      <c r="E209" s="156">
        <v>1</v>
      </c>
      <c r="F209" s="124" t="str">
        <f>IFERROR(F138*'2.1.b Veículos'!D$52,"")</f>
        <v/>
      </c>
      <c r="G209" s="124" t="str">
        <f>IFERROR(G138*'2.1.b Veículos'!E$52,"")</f>
        <v/>
      </c>
      <c r="H209" s="124" t="str">
        <f>IFERROR(H138*'2.1.b Veículos'!F$52,"")</f>
        <v/>
      </c>
      <c r="I209" s="124" t="str">
        <f>IFERROR(I138*'2.1.b Veículos'!G$52,"")</f>
        <v/>
      </c>
      <c r="J209" s="305"/>
    </row>
    <row r="210" spans="1:10" hidden="1" x14ac:dyDescent="0.25">
      <c r="A210" s="705"/>
      <c r="B210" s="706"/>
      <c r="C210" s="706"/>
      <c r="D210" s="707"/>
      <c r="E210" s="156">
        <v>2</v>
      </c>
      <c r="F210" s="124" t="str">
        <f>IFERROR(F139*'2.1.b Veículos'!D$52,"")</f>
        <v/>
      </c>
      <c r="G210" s="124" t="str">
        <f>IFERROR(G139*'2.1.b Veículos'!E$52,"")</f>
        <v/>
      </c>
      <c r="H210" s="124" t="str">
        <f>IFERROR(H139*'2.1.b Veículos'!F$52,"")</f>
        <v/>
      </c>
      <c r="I210" s="124" t="str">
        <f>IFERROR(I139*'2.1.b Veículos'!G$52,"")</f>
        <v/>
      </c>
      <c r="J210" s="305"/>
    </row>
    <row r="211" spans="1:10" hidden="1" x14ac:dyDescent="0.25">
      <c r="A211" s="705"/>
      <c r="B211" s="706"/>
      <c r="C211" s="706"/>
      <c r="D211" s="707"/>
      <c r="E211" s="156">
        <v>3</v>
      </c>
      <c r="F211" s="124" t="str">
        <f>IFERROR(F140*'2.1.b Veículos'!D$52,"")</f>
        <v/>
      </c>
      <c r="G211" s="124" t="str">
        <f>IFERROR(G140*'2.1.b Veículos'!E$52,"")</f>
        <v/>
      </c>
      <c r="H211" s="124" t="str">
        <f>IFERROR(H140*'2.1.b Veículos'!F$52,"")</f>
        <v/>
      </c>
      <c r="I211" s="124" t="str">
        <f>IFERROR(I140*'2.1.b Veículos'!G$52,"")</f>
        <v/>
      </c>
      <c r="J211" s="305"/>
    </row>
    <row r="212" spans="1:10" hidden="1" x14ac:dyDescent="0.25">
      <c r="A212" s="705"/>
      <c r="B212" s="706"/>
      <c r="C212" s="706"/>
      <c r="D212" s="707"/>
      <c r="E212" s="156">
        <v>4</v>
      </c>
      <c r="F212" s="124" t="str">
        <f>IFERROR(F141*'2.1.b Veículos'!D$52,"")</f>
        <v/>
      </c>
      <c r="G212" s="124" t="str">
        <f>IFERROR(G141*'2.1.b Veículos'!E$52,"")</f>
        <v/>
      </c>
      <c r="H212" s="124" t="str">
        <f>IFERROR(H141*'2.1.b Veículos'!F$52,"")</f>
        <v/>
      </c>
      <c r="I212" s="124" t="str">
        <f>IFERROR(I141*'2.1.b Veículos'!G$52,"")</f>
        <v/>
      </c>
      <c r="J212" s="305"/>
    </row>
    <row r="213" spans="1:10" hidden="1" x14ac:dyDescent="0.25">
      <c r="A213" s="705"/>
      <c r="B213" s="706"/>
      <c r="C213" s="706"/>
      <c r="D213" s="707"/>
      <c r="E213" s="156">
        <v>5</v>
      </c>
      <c r="F213" s="124" t="str">
        <f>IFERROR(F142*'2.1.b Veículos'!D$52,"")</f>
        <v/>
      </c>
      <c r="G213" s="124" t="str">
        <f>IFERROR(G142*'2.1.b Veículos'!E$52,"")</f>
        <v/>
      </c>
      <c r="H213" s="124" t="str">
        <f>IFERROR(H142*'2.1.b Veículos'!F$52,"")</f>
        <v/>
      </c>
      <c r="I213" s="124" t="str">
        <f>IFERROR(I142*'2.1.b Veículos'!G$52,"")</f>
        <v/>
      </c>
      <c r="J213" s="305"/>
    </row>
    <row r="214" spans="1:10" hidden="1" x14ac:dyDescent="0.25">
      <c r="A214" s="705"/>
      <c r="B214" s="706"/>
      <c r="C214" s="706"/>
      <c r="D214" s="707"/>
      <c r="E214" s="156">
        <v>6</v>
      </c>
      <c r="F214" s="124" t="str">
        <f>IFERROR(F143*'2.1.b Veículos'!D$52,"")</f>
        <v/>
      </c>
      <c r="G214" s="124" t="str">
        <f>IFERROR(G143*'2.1.b Veículos'!E$52,"")</f>
        <v/>
      </c>
      <c r="H214" s="124" t="str">
        <f>IFERROR(H143*'2.1.b Veículos'!F$52,"")</f>
        <v/>
      </c>
      <c r="I214" s="124" t="str">
        <f>IFERROR(I143*'2.1.b Veículos'!G$52,"")</f>
        <v/>
      </c>
      <c r="J214" s="305"/>
    </row>
    <row r="215" spans="1:10" hidden="1" x14ac:dyDescent="0.25">
      <c r="A215" s="705"/>
      <c r="B215" s="706"/>
      <c r="C215" s="706"/>
      <c r="D215" s="707"/>
      <c r="E215" s="156">
        <v>7</v>
      </c>
      <c r="F215" s="124" t="str">
        <f>IFERROR(F144*'2.1.b Veículos'!D$52,"")</f>
        <v/>
      </c>
      <c r="G215" s="124" t="str">
        <f>IFERROR(G144*'2.1.b Veículos'!E$52,"")</f>
        <v/>
      </c>
      <c r="H215" s="124" t="str">
        <f>IFERROR(H144*'2.1.b Veículos'!F$52,"")</f>
        <v/>
      </c>
      <c r="I215" s="124" t="str">
        <f>IFERROR(I144*'2.1.b Veículos'!G$52,"")</f>
        <v/>
      </c>
      <c r="J215" s="305"/>
    </row>
    <row r="216" spans="1:10" hidden="1" x14ac:dyDescent="0.25">
      <c r="A216" s="705"/>
      <c r="B216" s="706"/>
      <c r="C216" s="706"/>
      <c r="D216" s="707"/>
      <c r="E216" s="156">
        <v>8</v>
      </c>
      <c r="F216" s="124" t="str">
        <f>IFERROR(F145*'2.1.b Veículos'!D$52,"")</f>
        <v/>
      </c>
      <c r="G216" s="124" t="str">
        <f>IFERROR(G145*'2.1.b Veículos'!E$52,"")</f>
        <v/>
      </c>
      <c r="H216" s="124" t="str">
        <f>IFERROR(H145*'2.1.b Veículos'!F$52,"")</f>
        <v/>
      </c>
      <c r="I216" s="124" t="str">
        <f>IFERROR(I145*'2.1.b Veículos'!G$52,"")</f>
        <v/>
      </c>
      <c r="J216" s="305"/>
    </row>
    <row r="217" spans="1:10" hidden="1" x14ac:dyDescent="0.25">
      <c r="A217" s="705"/>
      <c r="B217" s="706"/>
      <c r="C217" s="706"/>
      <c r="D217" s="707"/>
      <c r="E217" s="156">
        <v>9</v>
      </c>
      <c r="F217" s="124" t="str">
        <f>IFERROR(F146*'2.1.b Veículos'!D$52,"")</f>
        <v/>
      </c>
      <c r="G217" s="124" t="str">
        <f>IFERROR(G146*'2.1.b Veículos'!E$52,"")</f>
        <v/>
      </c>
      <c r="H217" s="124" t="str">
        <f>IFERROR(H146*'2.1.b Veículos'!F$52,"")</f>
        <v/>
      </c>
      <c r="I217" s="124" t="str">
        <f>IFERROR(I146*'2.1.b Veículos'!G$52,"")</f>
        <v/>
      </c>
      <c r="J217" s="305"/>
    </row>
    <row r="218" spans="1:10" hidden="1" x14ac:dyDescent="0.25">
      <c r="A218" s="708"/>
      <c r="B218" s="709"/>
      <c r="C218" s="709"/>
      <c r="D218" s="710"/>
      <c r="E218" s="156">
        <v>10</v>
      </c>
      <c r="F218" s="124" t="str">
        <f>IFERROR(F147*'2.1.b Veículos'!D$52,"")</f>
        <v/>
      </c>
      <c r="G218" s="124" t="str">
        <f>IFERROR(G147*'2.1.b Veículos'!E$52,"")</f>
        <v/>
      </c>
      <c r="H218" s="124" t="str">
        <f>IFERROR(H147*'2.1.b Veículos'!F$52,"")</f>
        <v/>
      </c>
      <c r="I218" s="124" t="str">
        <f>IFERROR(I147*'2.1.b Veículos'!G$52,"")</f>
        <v/>
      </c>
      <c r="J218" s="305"/>
    </row>
    <row r="219" spans="1:10" hidden="1" x14ac:dyDescent="0.25">
      <c r="A219" s="715" t="s">
        <v>15</v>
      </c>
      <c r="B219" s="715"/>
      <c r="C219" s="715"/>
      <c r="D219" s="715"/>
      <c r="E219" s="156">
        <v>0</v>
      </c>
      <c r="F219" s="124" t="str">
        <f>IFERROR(F148*'2.1.b Veículos'!D$53,"")</f>
        <v/>
      </c>
      <c r="G219" s="124" t="str">
        <f>IFERROR(G148*'2.1.b Veículos'!E$53,"")</f>
        <v/>
      </c>
      <c r="H219" s="124" t="str">
        <f>IFERROR(H148*'2.1.b Veículos'!F$53,"")</f>
        <v/>
      </c>
      <c r="I219" s="124" t="str">
        <f>IFERROR(I148*'2.1.b Veículos'!G$53,"")</f>
        <v/>
      </c>
      <c r="J219" s="305"/>
    </row>
    <row r="220" spans="1:10" hidden="1" x14ac:dyDescent="0.25">
      <c r="A220" s="715"/>
      <c r="B220" s="715"/>
      <c r="C220" s="715"/>
      <c r="D220" s="715"/>
      <c r="E220" s="156">
        <v>1</v>
      </c>
      <c r="F220" s="124" t="str">
        <f>IFERROR(F149*'2.1.b Veículos'!D$53,"")</f>
        <v/>
      </c>
      <c r="G220" s="124" t="str">
        <f>IFERROR(G149*'2.1.b Veículos'!E$53,"")</f>
        <v/>
      </c>
      <c r="H220" s="124" t="str">
        <f>IFERROR(H149*'2.1.b Veículos'!F$53,"")</f>
        <v/>
      </c>
      <c r="I220" s="124" t="str">
        <f>IFERROR(I149*'2.1.b Veículos'!G$53,"")</f>
        <v/>
      </c>
      <c r="J220" s="305"/>
    </row>
    <row r="221" spans="1:10" hidden="1" x14ac:dyDescent="0.25">
      <c r="A221" s="715"/>
      <c r="B221" s="715"/>
      <c r="C221" s="715"/>
      <c r="D221" s="715"/>
      <c r="E221" s="156">
        <v>2</v>
      </c>
      <c r="F221" s="124" t="str">
        <f>IFERROR(F150*'2.1.b Veículos'!D$53,"")</f>
        <v/>
      </c>
      <c r="G221" s="124" t="str">
        <f>IFERROR(G150*'2.1.b Veículos'!E$53,"")</f>
        <v/>
      </c>
      <c r="H221" s="124" t="str">
        <f>IFERROR(H150*'2.1.b Veículos'!F$53,"")</f>
        <v/>
      </c>
      <c r="I221" s="124" t="str">
        <f>IFERROR(I150*'2.1.b Veículos'!G$53,"")</f>
        <v/>
      </c>
      <c r="J221" s="305"/>
    </row>
    <row r="222" spans="1:10" hidden="1" x14ac:dyDescent="0.25">
      <c r="A222" s="715"/>
      <c r="B222" s="715"/>
      <c r="C222" s="715"/>
      <c r="D222" s="715"/>
      <c r="E222" s="156">
        <v>3</v>
      </c>
      <c r="F222" s="124" t="str">
        <f>IFERROR(F151*'2.1.b Veículos'!D$53,"")</f>
        <v/>
      </c>
      <c r="G222" s="124" t="str">
        <f>IFERROR(G151*'2.1.b Veículos'!E$53,"")</f>
        <v/>
      </c>
      <c r="H222" s="124" t="str">
        <f>IFERROR(H151*'2.1.b Veículos'!F$53,"")</f>
        <v/>
      </c>
      <c r="I222" s="124" t="str">
        <f>IFERROR(I151*'2.1.b Veículos'!G$53,"")</f>
        <v/>
      </c>
      <c r="J222" s="305"/>
    </row>
    <row r="223" spans="1:10" hidden="1" x14ac:dyDescent="0.25">
      <c r="A223" s="715"/>
      <c r="B223" s="715"/>
      <c r="C223" s="715"/>
      <c r="D223" s="715"/>
      <c r="E223" s="156">
        <v>4</v>
      </c>
      <c r="F223" s="124" t="str">
        <f>IFERROR(F152*'2.1.b Veículos'!D$53,"")</f>
        <v/>
      </c>
      <c r="G223" s="124" t="str">
        <f>IFERROR(G152*'2.1.b Veículos'!E$53,"")</f>
        <v/>
      </c>
      <c r="H223" s="124" t="str">
        <f>IFERROR(H152*'2.1.b Veículos'!F$53,"")</f>
        <v/>
      </c>
      <c r="I223" s="124" t="str">
        <f>IFERROR(I152*'2.1.b Veículos'!G$53,"")</f>
        <v/>
      </c>
      <c r="J223" s="305"/>
    </row>
    <row r="224" spans="1:10" hidden="1" x14ac:dyDescent="0.25">
      <c r="A224" s="715"/>
      <c r="B224" s="715"/>
      <c r="C224" s="715"/>
      <c r="D224" s="715"/>
      <c r="E224" s="156">
        <v>5</v>
      </c>
      <c r="F224" s="124" t="str">
        <f>IFERROR(F153*'2.1.b Veículos'!D$53,"")</f>
        <v/>
      </c>
      <c r="G224" s="124" t="str">
        <f>IFERROR(G153*'2.1.b Veículos'!E$53,"")</f>
        <v/>
      </c>
      <c r="H224" s="124" t="str">
        <f>IFERROR(H153*'2.1.b Veículos'!F$53,"")</f>
        <v/>
      </c>
      <c r="I224" s="124" t="str">
        <f>IFERROR(I153*'2.1.b Veículos'!G$53,"")</f>
        <v/>
      </c>
      <c r="J224" s="305"/>
    </row>
    <row r="225" spans="1:10" hidden="1" x14ac:dyDescent="0.25">
      <c r="A225" s="715"/>
      <c r="B225" s="715"/>
      <c r="C225" s="715"/>
      <c r="D225" s="715"/>
      <c r="E225" s="156">
        <v>6</v>
      </c>
      <c r="F225" s="124" t="str">
        <f>IFERROR(F154*'2.1.b Veículos'!D$53,"")</f>
        <v/>
      </c>
      <c r="G225" s="124" t="str">
        <f>IFERROR(G154*'2.1.b Veículos'!E$53,"")</f>
        <v/>
      </c>
      <c r="H225" s="124" t="str">
        <f>IFERROR(H154*'2.1.b Veículos'!F$53,"")</f>
        <v/>
      </c>
      <c r="I225" s="124" t="str">
        <f>IFERROR(I154*'2.1.b Veículos'!G$53,"")</f>
        <v/>
      </c>
      <c r="J225" s="305"/>
    </row>
    <row r="226" spans="1:10" hidden="1" x14ac:dyDescent="0.25">
      <c r="A226" s="715"/>
      <c r="B226" s="715"/>
      <c r="C226" s="715"/>
      <c r="D226" s="715"/>
      <c r="E226" s="156">
        <v>7</v>
      </c>
      <c r="F226" s="124" t="str">
        <f>IFERROR(F155*'2.1.b Veículos'!D$53,"")</f>
        <v/>
      </c>
      <c r="G226" s="124" t="str">
        <f>IFERROR(G155*'2.1.b Veículos'!E$53,"")</f>
        <v/>
      </c>
      <c r="H226" s="124" t="str">
        <f>IFERROR(H155*'2.1.b Veículos'!F$53,"")</f>
        <v/>
      </c>
      <c r="I226" s="124" t="str">
        <f>IFERROR(I155*'2.1.b Veículos'!G$53,"")</f>
        <v/>
      </c>
      <c r="J226" s="305"/>
    </row>
    <row r="227" spans="1:10" hidden="1" x14ac:dyDescent="0.25">
      <c r="A227" s="715"/>
      <c r="B227" s="715"/>
      <c r="C227" s="715"/>
      <c r="D227" s="715"/>
      <c r="E227" s="156">
        <v>8</v>
      </c>
      <c r="F227" s="124" t="str">
        <f>IFERROR(F156*'2.1.b Veículos'!D$53,"")</f>
        <v/>
      </c>
      <c r="G227" s="124" t="str">
        <f>IFERROR(G156*'2.1.b Veículos'!E$53,"")</f>
        <v/>
      </c>
      <c r="H227" s="124" t="str">
        <f>IFERROR(H156*'2.1.b Veículos'!F$53,"")</f>
        <v/>
      </c>
      <c r="I227" s="124" t="str">
        <f>IFERROR(I156*'2.1.b Veículos'!G$53,"")</f>
        <v/>
      </c>
      <c r="J227" s="305"/>
    </row>
    <row r="228" spans="1:10" hidden="1" x14ac:dyDescent="0.25">
      <c r="A228" s="715"/>
      <c r="B228" s="715"/>
      <c r="C228" s="715"/>
      <c r="D228" s="715"/>
      <c r="E228" s="156">
        <v>9</v>
      </c>
      <c r="F228" s="124" t="str">
        <f>IFERROR(F157*'2.1.b Veículos'!D$53,"")</f>
        <v/>
      </c>
      <c r="G228" s="124" t="str">
        <f>IFERROR(G157*'2.1.b Veículos'!E$53,"")</f>
        <v/>
      </c>
      <c r="H228" s="124" t="str">
        <f>IFERROR(H157*'2.1.b Veículos'!F$53,"")</f>
        <v/>
      </c>
      <c r="I228" s="124" t="str">
        <f>IFERROR(I157*'2.1.b Veículos'!G$53,"")</f>
        <v/>
      </c>
      <c r="J228" s="305"/>
    </row>
    <row r="229" spans="1:10" hidden="1" x14ac:dyDescent="0.25">
      <c r="A229" s="715"/>
      <c r="B229" s="715"/>
      <c r="C229" s="715"/>
      <c r="D229" s="715"/>
      <c r="E229" s="156">
        <v>10</v>
      </c>
      <c r="F229" s="124" t="str">
        <f>IFERROR(F158*'2.1.b Veículos'!D$53,"")</f>
        <v/>
      </c>
      <c r="G229" s="124" t="str">
        <f>IFERROR(G158*'2.1.b Veículos'!E$53,"")</f>
        <v/>
      </c>
      <c r="H229" s="124" t="str">
        <f>IFERROR(H158*'2.1.b Veículos'!F$53,"")</f>
        <v/>
      </c>
      <c r="I229" s="124" t="str">
        <f>IFERROR(I158*'2.1.b Veículos'!G$53,"")</f>
        <v/>
      </c>
      <c r="J229" s="305"/>
    </row>
    <row r="230" spans="1:10" hidden="1" x14ac:dyDescent="0.25">
      <c r="A230" s="715"/>
      <c r="B230" s="715"/>
      <c r="C230" s="715"/>
      <c r="D230" s="715"/>
      <c r="E230" s="156">
        <v>11</v>
      </c>
      <c r="F230" s="124" t="str">
        <f>IFERROR(F159*'2.1.b Veículos'!D$53,"")</f>
        <v/>
      </c>
      <c r="G230" s="124" t="str">
        <f>IFERROR(G159*'2.1.b Veículos'!E$53,"")</f>
        <v/>
      </c>
      <c r="H230" s="124" t="str">
        <f>IFERROR(H159*'2.1.b Veículos'!F$53,"")</f>
        <v/>
      </c>
      <c r="I230" s="124" t="str">
        <f>IFERROR(I159*'2.1.b Veículos'!G$53,"")</f>
        <v/>
      </c>
      <c r="J230" s="305"/>
    </row>
    <row r="231" spans="1:10" hidden="1" x14ac:dyDescent="0.25">
      <c r="A231" s="715"/>
      <c r="B231" s="715"/>
      <c r="C231" s="715"/>
      <c r="D231" s="715"/>
      <c r="E231" s="156">
        <v>12</v>
      </c>
      <c r="F231" s="124" t="str">
        <f>IFERROR(F160*'2.1.b Veículos'!D$53,"")</f>
        <v/>
      </c>
      <c r="G231" s="124" t="str">
        <f>IFERROR(G160*'2.1.b Veículos'!E$53,"")</f>
        <v/>
      </c>
      <c r="H231" s="124" t="str">
        <f>IFERROR(H160*'2.1.b Veículos'!F$53,"")</f>
        <v/>
      </c>
      <c r="I231" s="124" t="str">
        <f>IFERROR(I160*'2.1.b Veículos'!G$53,"")</f>
        <v/>
      </c>
      <c r="J231" s="305"/>
    </row>
    <row r="232" spans="1:10" hidden="1" x14ac:dyDescent="0.25">
      <c r="A232" s="715" t="s">
        <v>16</v>
      </c>
      <c r="B232" s="715"/>
      <c r="C232" s="715"/>
      <c r="D232" s="715"/>
      <c r="E232" s="156">
        <v>0</v>
      </c>
      <c r="F232" s="124" t="str">
        <f>IFERROR(F161*'2.1.b Veículos'!D$54,"")</f>
        <v/>
      </c>
      <c r="G232" s="124" t="str">
        <f>IFERROR(G161*'2.1.b Veículos'!E$54,"")</f>
        <v/>
      </c>
      <c r="H232" s="124" t="str">
        <f>IFERROR(H161*'2.1.b Veículos'!F$54,"")</f>
        <v/>
      </c>
      <c r="I232" s="124" t="str">
        <f>IFERROR(I161*'2.1.b Veículos'!G$54,"")</f>
        <v/>
      </c>
      <c r="J232" s="305"/>
    </row>
    <row r="233" spans="1:10" hidden="1" x14ac:dyDescent="0.25">
      <c r="A233" s="715"/>
      <c r="B233" s="715"/>
      <c r="C233" s="715"/>
      <c r="D233" s="715"/>
      <c r="E233" s="156">
        <v>1</v>
      </c>
      <c r="F233" s="124" t="str">
        <f>IFERROR(F162*'2.1.b Veículos'!D$54,"")</f>
        <v/>
      </c>
      <c r="G233" s="124" t="str">
        <f>IFERROR(G162*'2.1.b Veículos'!E$54,"")</f>
        <v/>
      </c>
      <c r="H233" s="124" t="str">
        <f>IFERROR(H162*'2.1.b Veículos'!F$54,"")</f>
        <v/>
      </c>
      <c r="I233" s="124" t="str">
        <f>IFERROR(I162*'2.1.b Veículos'!G$54,"")</f>
        <v/>
      </c>
      <c r="J233" s="305"/>
    </row>
    <row r="234" spans="1:10" hidden="1" x14ac:dyDescent="0.25">
      <c r="A234" s="715"/>
      <c r="B234" s="715"/>
      <c r="C234" s="715"/>
      <c r="D234" s="715"/>
      <c r="E234" s="156">
        <v>2</v>
      </c>
      <c r="F234" s="124" t="str">
        <f>IFERROR(F163*'2.1.b Veículos'!D$54,"")</f>
        <v/>
      </c>
      <c r="G234" s="124" t="str">
        <f>IFERROR(G163*'2.1.b Veículos'!E$54,"")</f>
        <v/>
      </c>
      <c r="H234" s="124" t="str">
        <f>IFERROR(H163*'2.1.b Veículos'!F$54,"")</f>
        <v/>
      </c>
      <c r="I234" s="124" t="str">
        <f>IFERROR(I163*'2.1.b Veículos'!G$54,"")</f>
        <v/>
      </c>
      <c r="J234" s="305"/>
    </row>
    <row r="235" spans="1:10" hidden="1" x14ac:dyDescent="0.25">
      <c r="A235" s="715"/>
      <c r="B235" s="715"/>
      <c r="C235" s="715"/>
      <c r="D235" s="715"/>
      <c r="E235" s="156">
        <v>3</v>
      </c>
      <c r="F235" s="124" t="str">
        <f>IFERROR(F164*'2.1.b Veículos'!D$54,"")</f>
        <v/>
      </c>
      <c r="G235" s="124" t="str">
        <f>IFERROR(G164*'2.1.b Veículos'!E$54,"")</f>
        <v/>
      </c>
      <c r="H235" s="124" t="str">
        <f>IFERROR(H164*'2.1.b Veículos'!F$54,"")</f>
        <v/>
      </c>
      <c r="I235" s="124" t="str">
        <f>IFERROR(I164*'2.1.b Veículos'!G$54,"")</f>
        <v/>
      </c>
      <c r="J235" s="305"/>
    </row>
    <row r="236" spans="1:10" hidden="1" x14ac:dyDescent="0.25">
      <c r="A236" s="715"/>
      <c r="B236" s="715"/>
      <c r="C236" s="715"/>
      <c r="D236" s="715"/>
      <c r="E236" s="156">
        <v>4</v>
      </c>
      <c r="F236" s="124" t="str">
        <f>IFERROR(F165*'2.1.b Veículos'!D$54,"")</f>
        <v/>
      </c>
      <c r="G236" s="124" t="str">
        <f>IFERROR(G165*'2.1.b Veículos'!E$54,"")</f>
        <v/>
      </c>
      <c r="H236" s="124" t="str">
        <f>IFERROR(H165*'2.1.b Veículos'!F$54,"")</f>
        <v/>
      </c>
      <c r="I236" s="124" t="str">
        <f>IFERROR(I165*'2.1.b Veículos'!G$54,"")</f>
        <v/>
      </c>
      <c r="J236" s="305"/>
    </row>
    <row r="237" spans="1:10" hidden="1" x14ac:dyDescent="0.25">
      <c r="A237" s="715"/>
      <c r="B237" s="715"/>
      <c r="C237" s="715"/>
      <c r="D237" s="715"/>
      <c r="E237" s="156">
        <v>5</v>
      </c>
      <c r="F237" s="124" t="str">
        <f>IFERROR(F166*'2.1.b Veículos'!D$54,"")</f>
        <v/>
      </c>
      <c r="G237" s="124" t="str">
        <f>IFERROR(G166*'2.1.b Veículos'!E$54,"")</f>
        <v/>
      </c>
      <c r="H237" s="124" t="str">
        <f>IFERROR(H166*'2.1.b Veículos'!F$54,"")</f>
        <v/>
      </c>
      <c r="I237" s="124" t="str">
        <f>IFERROR(I166*'2.1.b Veículos'!G$54,"")</f>
        <v/>
      </c>
      <c r="J237" s="305"/>
    </row>
    <row r="238" spans="1:10" hidden="1" x14ac:dyDescent="0.25">
      <c r="A238" s="715"/>
      <c r="B238" s="715"/>
      <c r="C238" s="715"/>
      <c r="D238" s="715"/>
      <c r="E238" s="156">
        <v>6</v>
      </c>
      <c r="F238" s="124" t="str">
        <f>IFERROR(F167*'2.1.b Veículos'!D$54,"")</f>
        <v/>
      </c>
      <c r="G238" s="124" t="str">
        <f>IFERROR(G167*'2.1.b Veículos'!E$54,"")</f>
        <v/>
      </c>
      <c r="H238" s="124" t="str">
        <f>IFERROR(H167*'2.1.b Veículos'!F$54,"")</f>
        <v/>
      </c>
      <c r="I238" s="124" t="str">
        <f>IFERROR(I167*'2.1.b Veículos'!G$54,"")</f>
        <v/>
      </c>
      <c r="J238" s="305"/>
    </row>
    <row r="239" spans="1:10" hidden="1" x14ac:dyDescent="0.25">
      <c r="A239" s="715"/>
      <c r="B239" s="715"/>
      <c r="C239" s="715"/>
      <c r="D239" s="715"/>
      <c r="E239" s="156">
        <v>7</v>
      </c>
      <c r="F239" s="124" t="str">
        <f>IFERROR(F168*'2.1.b Veículos'!D$54,"")</f>
        <v/>
      </c>
      <c r="G239" s="124" t="str">
        <f>IFERROR(G168*'2.1.b Veículos'!E$54,"")</f>
        <v/>
      </c>
      <c r="H239" s="124" t="str">
        <f>IFERROR(H168*'2.1.b Veículos'!F$54,"")</f>
        <v/>
      </c>
      <c r="I239" s="124" t="str">
        <f>IFERROR(I168*'2.1.b Veículos'!G$54,"")</f>
        <v/>
      </c>
      <c r="J239" s="305"/>
    </row>
    <row r="240" spans="1:10" hidden="1" x14ac:dyDescent="0.25">
      <c r="A240" s="715"/>
      <c r="B240" s="715"/>
      <c r="C240" s="715"/>
      <c r="D240" s="715"/>
      <c r="E240" s="156">
        <v>8</v>
      </c>
      <c r="F240" s="124" t="str">
        <f>IFERROR(F169*'2.1.b Veículos'!D$54,"")</f>
        <v/>
      </c>
      <c r="G240" s="124" t="str">
        <f>IFERROR(G169*'2.1.b Veículos'!E$54,"")</f>
        <v/>
      </c>
      <c r="H240" s="124" t="str">
        <f>IFERROR(H169*'2.1.b Veículos'!F$54,"")</f>
        <v/>
      </c>
      <c r="I240" s="124" t="str">
        <f>IFERROR(I169*'2.1.b Veículos'!G$54,"")</f>
        <v/>
      </c>
      <c r="J240" s="305"/>
    </row>
    <row r="241" spans="1:10" hidden="1" x14ac:dyDescent="0.25">
      <c r="A241" s="715"/>
      <c r="B241" s="715"/>
      <c r="C241" s="715"/>
      <c r="D241" s="715"/>
      <c r="E241" s="156">
        <v>9</v>
      </c>
      <c r="F241" s="124" t="str">
        <f>IFERROR(F170*'2.1.b Veículos'!D$54,"")</f>
        <v/>
      </c>
      <c r="G241" s="124" t="str">
        <f>IFERROR(G170*'2.1.b Veículos'!E$54,"")</f>
        <v/>
      </c>
      <c r="H241" s="124" t="str">
        <f>IFERROR(H170*'2.1.b Veículos'!F$54,"")</f>
        <v/>
      </c>
      <c r="I241" s="124" t="str">
        <f>IFERROR(I170*'2.1.b Veículos'!G$54,"")</f>
        <v/>
      </c>
      <c r="J241" s="305"/>
    </row>
    <row r="242" spans="1:10" hidden="1" x14ac:dyDescent="0.25">
      <c r="A242" s="715"/>
      <c r="B242" s="715"/>
      <c r="C242" s="715"/>
      <c r="D242" s="715"/>
      <c r="E242" s="156">
        <v>10</v>
      </c>
      <c r="F242" s="124" t="str">
        <f>IFERROR(F171*'2.1.b Veículos'!D$54,"")</f>
        <v/>
      </c>
      <c r="G242" s="124" t="str">
        <f>IFERROR(G171*'2.1.b Veículos'!E$54,"")</f>
        <v/>
      </c>
      <c r="H242" s="124" t="str">
        <f>IFERROR(H171*'2.1.b Veículos'!F$54,"")</f>
        <v/>
      </c>
      <c r="I242" s="124" t="str">
        <f>IFERROR(I171*'2.1.b Veículos'!G$54,"")</f>
        <v/>
      </c>
      <c r="J242" s="305"/>
    </row>
    <row r="243" spans="1:10" hidden="1" x14ac:dyDescent="0.25">
      <c r="A243" s="715"/>
      <c r="B243" s="715"/>
      <c r="C243" s="715"/>
      <c r="D243" s="715"/>
      <c r="E243" s="156">
        <v>11</v>
      </c>
      <c r="F243" s="124" t="str">
        <f>IFERROR(F172*'2.1.b Veículos'!D$54,"")</f>
        <v/>
      </c>
      <c r="G243" s="124" t="str">
        <f>IFERROR(G172*'2.1.b Veículos'!E$54,"")</f>
        <v/>
      </c>
      <c r="H243" s="124" t="str">
        <f>IFERROR(H172*'2.1.b Veículos'!F$54,"")</f>
        <v/>
      </c>
      <c r="I243" s="124" t="str">
        <f>IFERROR(I172*'2.1.b Veículos'!G$54,"")</f>
        <v/>
      </c>
      <c r="J243" s="305"/>
    </row>
    <row r="244" spans="1:10" hidden="1" x14ac:dyDescent="0.25">
      <c r="A244" s="715"/>
      <c r="B244" s="715"/>
      <c r="C244" s="715"/>
      <c r="D244" s="715"/>
      <c r="E244" s="156">
        <v>12</v>
      </c>
      <c r="F244" s="124" t="str">
        <f>IFERROR(F173*'2.1.b Veículos'!D$54,"")</f>
        <v/>
      </c>
      <c r="G244" s="124" t="str">
        <f>IFERROR(G173*'2.1.b Veículos'!E$54,"")</f>
        <v/>
      </c>
      <c r="H244" s="124" t="str">
        <f>IFERROR(H173*'2.1.b Veículos'!F$54,"")</f>
        <v/>
      </c>
      <c r="I244" s="124" t="str">
        <f>IFERROR(I173*'2.1.b Veículos'!G$54,"")</f>
        <v/>
      </c>
      <c r="J244" s="305"/>
    </row>
    <row r="245" spans="1:10" x14ac:dyDescent="0.25">
      <c r="A245" s="305"/>
      <c r="B245" s="305"/>
      <c r="C245" s="305"/>
      <c r="D245" s="305"/>
      <c r="E245" s="305"/>
      <c r="F245" s="305"/>
      <c r="G245" s="305"/>
      <c r="H245" s="305"/>
      <c r="I245" s="305"/>
      <c r="J245" s="305"/>
    </row>
    <row r="246" spans="1:10" x14ac:dyDescent="0.25">
      <c r="A246" s="305"/>
      <c r="B246" s="305"/>
      <c r="C246" s="305"/>
      <c r="D246" s="305"/>
      <c r="E246" s="305"/>
      <c r="F246" s="305"/>
      <c r="G246" s="305"/>
      <c r="H246" s="305"/>
      <c r="I246" s="305"/>
      <c r="J246" s="305"/>
    </row>
    <row r="247" spans="1:10" ht="15.75" thickBot="1" x14ac:dyDescent="0.3">
      <c r="A247" s="27" t="s">
        <v>689</v>
      </c>
      <c r="B247" s="27" t="s">
        <v>131</v>
      </c>
    </row>
    <row r="248" spans="1:10" ht="21.75" thickBot="1" x14ac:dyDescent="0.3">
      <c r="A248" s="713" t="s">
        <v>130</v>
      </c>
      <c r="B248" s="713"/>
      <c r="C248" s="713"/>
      <c r="D248" s="713"/>
      <c r="E248" s="713"/>
      <c r="F248" s="714"/>
      <c r="G248" s="167">
        <f>SUM(F178:I242)</f>
        <v>13979.666666666668</v>
      </c>
    </row>
  </sheetData>
  <mergeCells count="54">
    <mergeCell ref="A9:D9"/>
    <mergeCell ref="A107:D112"/>
    <mergeCell ref="E13:E14"/>
    <mergeCell ref="F13:F14"/>
    <mergeCell ref="A17:C18"/>
    <mergeCell ref="E10:E11"/>
    <mergeCell ref="A57:D65"/>
    <mergeCell ref="A10:D10"/>
    <mergeCell ref="A11:D11"/>
    <mergeCell ref="A12:D12"/>
    <mergeCell ref="E17:E18"/>
    <mergeCell ref="A14:D14"/>
    <mergeCell ref="J176:J177"/>
    <mergeCell ref="A77:D89"/>
    <mergeCell ref="A42:D47"/>
    <mergeCell ref="A66:D76"/>
    <mergeCell ref="A105:D106"/>
    <mergeCell ref="A148:D160"/>
    <mergeCell ref="A161:D173"/>
    <mergeCell ref="H176:I176"/>
    <mergeCell ref="A128:D136"/>
    <mergeCell ref="A48:D56"/>
    <mergeCell ref="A137:D147"/>
    <mergeCell ref="A113:D118"/>
    <mergeCell ref="J105:J106"/>
    <mergeCell ref="A119:D127"/>
    <mergeCell ref="A176:D177"/>
    <mergeCell ref="E105:E106"/>
    <mergeCell ref="K6:N6"/>
    <mergeCell ref="A13:D13"/>
    <mergeCell ref="E34:E35"/>
    <mergeCell ref="F34:G34"/>
    <mergeCell ref="A90:D102"/>
    <mergeCell ref="A36:D41"/>
    <mergeCell ref="H34:I34"/>
    <mergeCell ref="A34:D35"/>
    <mergeCell ref="F10:F11"/>
    <mergeCell ref="F17:F18"/>
    <mergeCell ref="A6:D7"/>
    <mergeCell ref="E6:E7"/>
    <mergeCell ref="F6:F7"/>
    <mergeCell ref="A8:D8"/>
    <mergeCell ref="E8:E9"/>
    <mergeCell ref="F8:F9"/>
    <mergeCell ref="A178:D183"/>
    <mergeCell ref="A184:D189"/>
    <mergeCell ref="F176:G176"/>
    <mergeCell ref="A248:F248"/>
    <mergeCell ref="A208:D218"/>
    <mergeCell ref="A232:D244"/>
    <mergeCell ref="A219:D231"/>
    <mergeCell ref="A199:D207"/>
    <mergeCell ref="A190:D198"/>
    <mergeCell ref="E176:E177"/>
  </mergeCells>
  <hyperlinks>
    <hyperlink ref="A1" location="'2.1.c Insumos'!A1" display="ANEXO IX – DEPRECIAÇÃO" xr:uid="{00000000-0004-0000-1F00-000000000000}"/>
  </hyperlinks>
  <pageMargins left="0.78740157499999996" right="0.78740157499999996" top="0.984251969" bottom="0.984251969" header="0.49212598499999999" footer="0.49212598499999999"/>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ilha33">
    <tabColor theme="6" tint="0.39997558519241921"/>
  </sheetPr>
  <dimension ref="A1:R35"/>
  <sheetViews>
    <sheetView workbookViewId="0">
      <selection activeCell="D1" sqref="D1"/>
    </sheetView>
  </sheetViews>
  <sheetFormatPr defaultColWidth="11.42578125" defaultRowHeight="15" x14ac:dyDescent="0.25"/>
  <cols>
    <col min="1" max="1" width="7" style="6" customWidth="1"/>
    <col min="2" max="2" width="2.7109375" style="6" customWidth="1"/>
    <col min="3" max="3" width="3.5703125" style="6" bestFit="1" customWidth="1"/>
    <col min="4" max="4" width="14.5703125" style="6" customWidth="1"/>
    <col min="5" max="5" width="16.28515625" style="6" bestFit="1" customWidth="1"/>
    <col min="6" max="6" width="18.85546875" style="6" bestFit="1" customWidth="1"/>
    <col min="7" max="7" width="4.140625" style="6" bestFit="1" customWidth="1"/>
    <col min="8" max="8" width="6.5703125" style="6" bestFit="1" customWidth="1"/>
    <col min="9" max="9" width="10.5703125" style="6" customWidth="1"/>
    <col min="10" max="10" width="15.7109375" style="6" bestFit="1" customWidth="1"/>
    <col min="11" max="11" width="38.7109375" style="6" customWidth="1"/>
    <col min="12" max="12" width="1.42578125" style="6" customWidth="1"/>
    <col min="13" max="17" width="11.42578125" style="6" customWidth="1"/>
    <col min="18" max="18" width="13.85546875" style="6" bestFit="1" customWidth="1"/>
    <col min="19" max="16384" width="11.42578125" style="6"/>
  </cols>
  <sheetData>
    <row r="1" spans="1:18" x14ac:dyDescent="0.25">
      <c r="A1" s="468" t="s">
        <v>673</v>
      </c>
    </row>
    <row r="2" spans="1:18" ht="15.75" thickBot="1" x14ac:dyDescent="0.3"/>
    <row r="3" spans="1:18" ht="15.75" thickBot="1" x14ac:dyDescent="0.3">
      <c r="A3" s="27" t="s">
        <v>690</v>
      </c>
      <c r="M3" s="518" t="s">
        <v>83</v>
      </c>
      <c r="N3" s="519"/>
      <c r="O3" s="519"/>
      <c r="P3" s="520"/>
    </row>
    <row r="4" spans="1:18" x14ac:dyDescent="0.25">
      <c r="A4" s="27"/>
      <c r="M4" s="33"/>
      <c r="N4" s="64"/>
      <c r="O4" s="64"/>
      <c r="P4" s="34"/>
    </row>
    <row r="5" spans="1:18" x14ac:dyDescent="0.25">
      <c r="A5" s="22" t="s">
        <v>691</v>
      </c>
      <c r="B5" s="27" t="s">
        <v>134</v>
      </c>
      <c r="M5" s="35"/>
      <c r="N5" s="2"/>
      <c r="O5" s="44" t="s">
        <v>81</v>
      </c>
      <c r="P5" s="36"/>
    </row>
    <row r="6" spans="1:18" x14ac:dyDescent="0.25">
      <c r="A6" s="22"/>
      <c r="B6" s="27"/>
      <c r="M6" s="35"/>
      <c r="N6" s="4"/>
      <c r="O6" s="44" t="s">
        <v>93</v>
      </c>
      <c r="P6" s="36"/>
    </row>
    <row r="7" spans="1:18" ht="15.75" customHeight="1" x14ac:dyDescent="0.25">
      <c r="A7" s="22"/>
      <c r="B7" s="27"/>
      <c r="E7" s="141" t="s">
        <v>121</v>
      </c>
      <c r="F7" s="141" t="s">
        <v>122</v>
      </c>
      <c r="M7" s="35"/>
      <c r="N7" s="43"/>
      <c r="O7" s="44" t="s">
        <v>82</v>
      </c>
      <c r="P7" s="36"/>
    </row>
    <row r="8" spans="1:18" ht="15.75" customHeight="1" thickBot="1" x14ac:dyDescent="0.3">
      <c r="A8" s="774" t="s">
        <v>141</v>
      </c>
      <c r="B8" s="774"/>
      <c r="C8" s="774"/>
      <c r="D8" s="774"/>
      <c r="E8" s="142">
        <v>25</v>
      </c>
      <c r="F8" s="142">
        <v>10</v>
      </c>
      <c r="M8" s="37"/>
      <c r="N8" s="38"/>
      <c r="O8" s="38"/>
      <c r="P8" s="39"/>
    </row>
    <row r="9" spans="1:18" ht="15.75" customHeight="1" x14ac:dyDescent="0.25">
      <c r="A9" s="775" t="s">
        <v>135</v>
      </c>
      <c r="B9" s="776"/>
      <c r="C9" s="776"/>
      <c r="D9" s="777"/>
      <c r="E9" s="142">
        <v>10</v>
      </c>
      <c r="F9" s="142">
        <v>0</v>
      </c>
    </row>
    <row r="10" spans="1:18" ht="15" customHeight="1" x14ac:dyDescent="0.25">
      <c r="A10" s="27"/>
      <c r="B10" s="27"/>
      <c r="C10" s="27"/>
      <c r="D10" s="27"/>
    </row>
    <row r="11" spans="1:18" x14ac:dyDescent="0.25">
      <c r="A11" s="22" t="s">
        <v>692</v>
      </c>
      <c r="B11" s="27" t="s">
        <v>748</v>
      </c>
    </row>
    <row r="12" spans="1:18" x14ac:dyDescent="0.25">
      <c r="A12" s="22"/>
      <c r="B12" s="27"/>
    </row>
    <row r="13" spans="1:18" ht="15.75" x14ac:dyDescent="0.25">
      <c r="B13" s="782" t="s">
        <v>136</v>
      </c>
      <c r="C13" s="783"/>
      <c r="D13" s="242">
        <f>IF('2.1.c Insumos'!F72="","Preencher CIE em Dados de Insumo",'2.1.c Insumos'!F72*(IF('2.1.c Insumos'!F74="",(1-'A.IX.b. Deprec. garagem equip. '!F8/100),(1-'2.1.c Insumos'!F74/100)))/(('2.1.b Veículos'!D58*SUM('1.3 Frota Total'!C19:F25))))</f>
        <v>2.1664904587760197E-2</v>
      </c>
      <c r="E13" s="58"/>
      <c r="G13" s="141" t="s">
        <v>136</v>
      </c>
      <c r="H13" s="144">
        <f>8.16/100</f>
        <v>8.1600000000000006E-2</v>
      </c>
      <c r="I13" s="241"/>
      <c r="R13" s="341"/>
    </row>
    <row r="15" spans="1:18" x14ac:dyDescent="0.25">
      <c r="A15" s="22" t="s">
        <v>693</v>
      </c>
      <c r="B15" s="27" t="s">
        <v>749</v>
      </c>
    </row>
    <row r="16" spans="1:18" x14ac:dyDescent="0.25">
      <c r="A16" s="22"/>
      <c r="B16" s="27"/>
    </row>
    <row r="17" spans="1:18" ht="15.75" x14ac:dyDescent="0.25">
      <c r="B17" s="532" t="s">
        <v>137</v>
      </c>
      <c r="C17" s="532"/>
      <c r="D17" s="242">
        <f>IF('2.1.c Insumos'!F75="","Preencher CIG em Dados de Insumo",'2.1.c Insumos'!F75*(IF('2.1.c Insumos'!F77="",(1-'A.IX.b. Deprec. garagem equip. '!F9/100),(1-'2.1.c Insumos'!F77/100)))/(('2.1.b Veículos'!D58*SUM('1.3 Frota Total'!C19:F25))))</f>
        <v>1.6248678440820147E-2</v>
      </c>
      <c r="E17" s="58"/>
      <c r="G17" s="141" t="s">
        <v>137</v>
      </c>
      <c r="H17" s="144">
        <f>2.74/100</f>
        <v>2.7400000000000001E-2</v>
      </c>
      <c r="I17" s="241"/>
    </row>
    <row r="19" spans="1:18" x14ac:dyDescent="0.25">
      <c r="A19" s="27" t="s">
        <v>694</v>
      </c>
      <c r="B19" s="27" t="s">
        <v>695</v>
      </c>
    </row>
    <row r="20" spans="1:18" x14ac:dyDescent="0.25">
      <c r="A20" s="27"/>
      <c r="B20" s="27"/>
    </row>
    <row r="21" spans="1:18" ht="15.75" x14ac:dyDescent="0.25">
      <c r="A21" s="774" t="s">
        <v>139</v>
      </c>
      <c r="B21" s="774"/>
      <c r="C21" s="774"/>
      <c r="D21" s="774"/>
      <c r="E21" s="141" t="s">
        <v>121</v>
      </c>
      <c r="F21" s="141" t="s">
        <v>122</v>
      </c>
    </row>
    <row r="22" spans="1:18" ht="16.5" customHeight="1" x14ac:dyDescent="0.25">
      <c r="A22" s="774"/>
      <c r="B22" s="774"/>
      <c r="C22" s="774"/>
      <c r="D22" s="774"/>
      <c r="E22" s="142">
        <v>5</v>
      </c>
      <c r="F22" s="142">
        <v>0</v>
      </c>
      <c r="H22" s="59"/>
    </row>
    <row r="23" spans="1:18" ht="16.5" customHeight="1" x14ac:dyDescent="0.25">
      <c r="A23" s="5"/>
      <c r="B23" s="5"/>
      <c r="C23" s="5"/>
      <c r="D23" s="5"/>
      <c r="E23" s="5"/>
      <c r="F23" s="5"/>
      <c r="H23" s="59"/>
    </row>
    <row r="24" spans="1:18" s="5" customFormat="1" ht="16.5" customHeight="1" x14ac:dyDescent="0.25">
      <c r="A24" s="27" t="s">
        <v>696</v>
      </c>
      <c r="B24" s="27" t="s">
        <v>750</v>
      </c>
      <c r="C24" s="6"/>
      <c r="D24" s="6"/>
      <c r="E24" s="6"/>
      <c r="F24" s="6"/>
    </row>
    <row r="25" spans="1:18" s="5" customFormat="1" ht="16.5" customHeight="1" x14ac:dyDescent="0.25">
      <c r="A25" s="27"/>
      <c r="B25" s="27"/>
      <c r="C25" s="6"/>
      <c r="D25" s="6"/>
      <c r="E25" s="6"/>
      <c r="F25" s="6"/>
    </row>
    <row r="26" spans="1:18" ht="15.75" x14ac:dyDescent="0.25">
      <c r="B26" s="532" t="s">
        <v>138</v>
      </c>
      <c r="C26" s="532"/>
      <c r="D26" s="242">
        <f>IF('2.1.c Insumos'!F78="","Preencher CEB em Dados de Insumo",'2.1.c Insumos'!F78*(IF('2.1.c Insumos'!F80="",(1-'A.IX.b. Deprec. garagem equip. '!F22/100),(1-'2.1.c Insumos'!F80/100)))/(('2.1.b Veículos'!D58*SUM('1.3 Frota Total'!C19:F25))))</f>
        <v>3.2497356881640294E-3</v>
      </c>
      <c r="G26" s="141" t="s">
        <v>138</v>
      </c>
      <c r="H26" s="144">
        <v>0.04</v>
      </c>
      <c r="I26" s="241"/>
      <c r="R26" s="341"/>
    </row>
    <row r="28" spans="1:18" x14ac:dyDescent="0.25">
      <c r="A28" s="27" t="s">
        <v>697</v>
      </c>
      <c r="B28" s="27" t="s">
        <v>399</v>
      </c>
      <c r="R28" s="341"/>
    </row>
    <row r="29" spans="1:18" x14ac:dyDescent="0.25">
      <c r="A29" s="27"/>
      <c r="B29" s="27"/>
    </row>
    <row r="30" spans="1:18" ht="15.75" customHeight="1" x14ac:dyDescent="0.25">
      <c r="A30" s="778" t="s">
        <v>140</v>
      </c>
      <c r="B30" s="779"/>
      <c r="C30" s="779"/>
      <c r="D30" s="780"/>
      <c r="E30" s="141" t="s">
        <v>121</v>
      </c>
      <c r="F30" s="141" t="s">
        <v>400</v>
      </c>
    </row>
    <row r="31" spans="1:18" x14ac:dyDescent="0.25">
      <c r="A31" s="781" t="s">
        <v>393</v>
      </c>
      <c r="B31" s="781"/>
      <c r="C31" s="781"/>
      <c r="D31" s="781"/>
      <c r="E31" s="243">
        <v>15</v>
      </c>
      <c r="F31" s="244">
        <v>0.1</v>
      </c>
    </row>
    <row r="32" spans="1:18" x14ac:dyDescent="0.25">
      <c r="A32" s="781" t="s">
        <v>394</v>
      </c>
      <c r="B32" s="781"/>
      <c r="C32" s="781"/>
      <c r="D32" s="781"/>
      <c r="E32" s="243">
        <v>15</v>
      </c>
      <c r="F32" s="244">
        <v>0.1</v>
      </c>
    </row>
    <row r="33" spans="1:6" x14ac:dyDescent="0.25">
      <c r="A33" s="781" t="s">
        <v>395</v>
      </c>
      <c r="B33" s="781"/>
      <c r="C33" s="781"/>
      <c r="D33" s="781"/>
      <c r="E33" s="243">
        <v>8</v>
      </c>
      <c r="F33" s="244">
        <v>0.15</v>
      </c>
    </row>
    <row r="34" spans="1:6" x14ac:dyDescent="0.25">
      <c r="A34" s="781" t="s">
        <v>396</v>
      </c>
      <c r="B34" s="781"/>
      <c r="C34" s="781"/>
      <c r="D34" s="781"/>
      <c r="E34" s="243">
        <v>5</v>
      </c>
      <c r="F34" s="244">
        <v>0.2</v>
      </c>
    </row>
    <row r="35" spans="1:6" x14ac:dyDescent="0.25">
      <c r="A35" s="781" t="s">
        <v>397</v>
      </c>
      <c r="B35" s="781"/>
      <c r="C35" s="781"/>
      <c r="D35" s="781"/>
      <c r="E35" s="243">
        <v>5</v>
      </c>
      <c r="F35" s="244">
        <v>0.2</v>
      </c>
    </row>
  </sheetData>
  <mergeCells count="13">
    <mergeCell ref="A33:D33"/>
    <mergeCell ref="A34:D34"/>
    <mergeCell ref="A35:D35"/>
    <mergeCell ref="B13:C13"/>
    <mergeCell ref="B17:C17"/>
    <mergeCell ref="B26:C26"/>
    <mergeCell ref="A21:D22"/>
    <mergeCell ref="A32:D32"/>
    <mergeCell ref="M3:P3"/>
    <mergeCell ref="A8:D8"/>
    <mergeCell ref="A9:D9"/>
    <mergeCell ref="A30:D30"/>
    <mergeCell ref="A31:D31"/>
  </mergeCells>
  <hyperlinks>
    <hyperlink ref="A1" location="'2.1.c Insumos'!A1" display="ANEXO IX – DEPRECIAÇÃO" xr:uid="{00000000-0004-0000-2000-000000000000}"/>
  </hyperlinks>
  <pageMargins left="0.78740157499999996" right="0.78740157499999996" top="0.984251969" bottom="0.984251969" header="0.49212598499999999" footer="0.49212598499999999"/>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ilha34">
    <tabColor theme="6" tint="0.39997558519241921"/>
  </sheetPr>
  <dimension ref="A1:O231"/>
  <sheetViews>
    <sheetView topLeftCell="A229" workbookViewId="0">
      <selection activeCell="G231" sqref="G231"/>
    </sheetView>
  </sheetViews>
  <sheetFormatPr defaultColWidth="11.42578125" defaultRowHeight="15" x14ac:dyDescent="0.25"/>
  <cols>
    <col min="1" max="1" width="5.5703125" style="6" bestFit="1" customWidth="1"/>
    <col min="2" max="2" width="2.7109375" style="6" customWidth="1"/>
    <col min="3" max="3" width="3.5703125" style="6" bestFit="1" customWidth="1"/>
    <col min="4" max="4" width="21" style="6" customWidth="1"/>
    <col min="5" max="5" width="15.7109375" style="6" bestFit="1" customWidth="1"/>
    <col min="6" max="6" width="26.7109375" style="6" bestFit="1" customWidth="1"/>
    <col min="7" max="7" width="26.85546875" style="6" bestFit="1" customWidth="1"/>
    <col min="8" max="8" width="26.7109375" style="6" bestFit="1" customWidth="1"/>
    <col min="9" max="9" width="26.85546875" style="6" bestFit="1" customWidth="1"/>
    <col min="10" max="10" width="8.28515625" style="62" bestFit="1" customWidth="1"/>
    <col min="11" max="11" width="11.42578125" style="6" customWidth="1"/>
    <col min="12" max="12" width="2" style="6" customWidth="1"/>
    <col min="13" max="13" width="11.42578125" style="6" customWidth="1"/>
    <col min="14" max="14" width="42.5703125" style="6" bestFit="1" customWidth="1"/>
    <col min="15" max="15" width="1.85546875" style="6" customWidth="1"/>
    <col min="16" max="16384" width="11.42578125" style="6"/>
  </cols>
  <sheetData>
    <row r="1" spans="1:15" x14ac:dyDescent="0.25">
      <c r="A1" s="20" t="s">
        <v>698</v>
      </c>
    </row>
    <row r="3" spans="1:15" x14ac:dyDescent="0.25">
      <c r="A3" s="22" t="s">
        <v>700</v>
      </c>
      <c r="B3" s="27" t="s">
        <v>699</v>
      </c>
      <c r="C3" s="27"/>
    </row>
    <row r="5" spans="1:15" ht="15.75" thickBot="1" x14ac:dyDescent="0.3">
      <c r="A5" s="22" t="s">
        <v>701</v>
      </c>
      <c r="B5" s="27" t="s">
        <v>120</v>
      </c>
    </row>
    <row r="6" spans="1:15" ht="15.75" thickBot="1" x14ac:dyDescent="0.3">
      <c r="A6" s="689" t="s">
        <v>7</v>
      </c>
      <c r="B6" s="699"/>
      <c r="C6" s="699"/>
      <c r="D6" s="699"/>
      <c r="E6" s="686" t="s">
        <v>121</v>
      </c>
      <c r="F6" s="689" t="s">
        <v>122</v>
      </c>
      <c r="L6" s="518" t="s">
        <v>83</v>
      </c>
      <c r="M6" s="519"/>
      <c r="N6" s="519"/>
      <c r="O6" s="520"/>
    </row>
    <row r="7" spans="1:15" x14ac:dyDescent="0.25">
      <c r="A7" s="691"/>
      <c r="B7" s="700"/>
      <c r="C7" s="700"/>
      <c r="D7" s="700"/>
      <c r="E7" s="686"/>
      <c r="F7" s="674"/>
      <c r="L7" s="33"/>
      <c r="M7" s="64"/>
      <c r="N7" s="64"/>
      <c r="O7" s="34"/>
    </row>
    <row r="8" spans="1:15" ht="15" customHeight="1" x14ac:dyDescent="0.25">
      <c r="A8" s="665" t="s">
        <v>10</v>
      </c>
      <c r="B8" s="666"/>
      <c r="C8" s="666"/>
      <c r="D8" s="666"/>
      <c r="E8" s="29">
        <v>5</v>
      </c>
      <c r="F8" s="47">
        <v>0.15</v>
      </c>
      <c r="G8" s="45"/>
      <c r="L8" s="35"/>
      <c r="M8" s="2"/>
      <c r="N8" s="44" t="s">
        <v>81</v>
      </c>
      <c r="O8" s="36"/>
    </row>
    <row r="9" spans="1:15" x14ac:dyDescent="0.25">
      <c r="A9" s="665" t="s">
        <v>11</v>
      </c>
      <c r="B9" s="666"/>
      <c r="C9" s="666"/>
      <c r="D9" s="666"/>
      <c r="E9" s="29">
        <v>5</v>
      </c>
      <c r="F9" s="47">
        <v>0.15</v>
      </c>
      <c r="G9" s="45"/>
      <c r="L9" s="35"/>
      <c r="M9" s="4"/>
      <c r="N9" s="44" t="s">
        <v>93</v>
      </c>
      <c r="O9" s="36"/>
    </row>
    <row r="10" spans="1:15" ht="15" customHeight="1" x14ac:dyDescent="0.25">
      <c r="A10" s="665" t="s">
        <v>12</v>
      </c>
      <c r="B10" s="666"/>
      <c r="C10" s="666"/>
      <c r="D10" s="666"/>
      <c r="E10" s="29">
        <v>8</v>
      </c>
      <c r="F10" s="47">
        <v>0.1</v>
      </c>
      <c r="G10" s="45"/>
      <c r="L10" s="35"/>
      <c r="M10" s="43"/>
      <c r="N10" s="44" t="s">
        <v>82</v>
      </c>
      <c r="O10" s="36"/>
    </row>
    <row r="11" spans="1:15" ht="15.75" thickBot="1" x14ac:dyDescent="0.3">
      <c r="A11" s="665" t="s">
        <v>13</v>
      </c>
      <c r="B11" s="666"/>
      <c r="C11" s="666"/>
      <c r="D11" s="666"/>
      <c r="E11" s="29">
        <v>8</v>
      </c>
      <c r="F11" s="47">
        <v>0.1</v>
      </c>
      <c r="G11" s="45"/>
      <c r="L11" s="37"/>
      <c r="M11" s="38"/>
      <c r="N11" s="38"/>
      <c r="O11" s="39"/>
    </row>
    <row r="12" spans="1:15" ht="15" customHeight="1" x14ac:dyDescent="0.25">
      <c r="A12" s="665" t="s">
        <v>14</v>
      </c>
      <c r="B12" s="666"/>
      <c r="C12" s="666"/>
      <c r="D12" s="666"/>
      <c r="E12" s="29">
        <v>10</v>
      </c>
      <c r="F12" s="47">
        <v>0.1</v>
      </c>
      <c r="G12" s="45"/>
    </row>
    <row r="13" spans="1:15" x14ac:dyDescent="0.25">
      <c r="A13" s="665" t="s">
        <v>15</v>
      </c>
      <c r="B13" s="666"/>
      <c r="C13" s="666"/>
      <c r="D13" s="666"/>
      <c r="E13" s="29">
        <v>12</v>
      </c>
      <c r="F13" s="47">
        <v>0.05</v>
      </c>
      <c r="G13" s="45"/>
    </row>
    <row r="14" spans="1:15" x14ac:dyDescent="0.25">
      <c r="A14" s="665" t="s">
        <v>16</v>
      </c>
      <c r="B14" s="666"/>
      <c r="C14" s="666"/>
      <c r="D14" s="666"/>
      <c r="E14" s="29">
        <v>12</v>
      </c>
      <c r="F14" s="47">
        <v>0.05</v>
      </c>
      <c r="G14" s="45"/>
    </row>
    <row r="15" spans="1:15" x14ac:dyDescent="0.25">
      <c r="A15" s="48"/>
      <c r="B15" s="48"/>
      <c r="C15" s="48"/>
      <c r="D15" s="48"/>
      <c r="E15" s="28"/>
      <c r="F15" s="49"/>
      <c r="G15" s="50"/>
      <c r="J15" s="63"/>
    </row>
    <row r="16" spans="1:15" ht="15.75" thickBot="1" x14ac:dyDescent="0.3">
      <c r="A16" s="22" t="s">
        <v>702</v>
      </c>
      <c r="B16" s="27" t="s">
        <v>128</v>
      </c>
    </row>
    <row r="17" spans="1:13" ht="15" customHeight="1" x14ac:dyDescent="0.25">
      <c r="A17" s="813" t="s">
        <v>7</v>
      </c>
      <c r="B17" s="813"/>
      <c r="C17" s="813"/>
      <c r="D17" s="813"/>
      <c r="E17" s="735" t="s">
        <v>119</v>
      </c>
      <c r="F17" s="811" t="s">
        <v>5</v>
      </c>
      <c r="G17" s="812"/>
      <c r="H17" s="811" t="s">
        <v>6</v>
      </c>
      <c r="I17" s="812"/>
      <c r="J17" s="809" t="s">
        <v>256</v>
      </c>
    </row>
    <row r="18" spans="1:13" ht="15.75" thickBot="1" x14ac:dyDescent="0.3">
      <c r="A18" s="735"/>
      <c r="B18" s="735"/>
      <c r="C18" s="735"/>
      <c r="D18" s="735"/>
      <c r="E18" s="719"/>
      <c r="F18" s="145" t="s">
        <v>8</v>
      </c>
      <c r="G18" s="145" t="s">
        <v>9</v>
      </c>
      <c r="H18" s="145" t="s">
        <v>8</v>
      </c>
      <c r="I18" s="145" t="s">
        <v>9</v>
      </c>
      <c r="J18" s="810"/>
    </row>
    <row r="19" spans="1:13" hidden="1" x14ac:dyDescent="0.25">
      <c r="A19" s="722" t="s">
        <v>127</v>
      </c>
      <c r="B19" s="723"/>
      <c r="C19" s="723"/>
      <c r="D19" s="724"/>
      <c r="E19" s="146">
        <v>0</v>
      </c>
      <c r="F19" s="149">
        <f>'1.3 Frota Total'!E31</f>
        <v>0</v>
      </c>
      <c r="G19" s="149">
        <f>'1.3 Frota Total'!F31</f>
        <v>0</v>
      </c>
      <c r="H19" s="149">
        <f>'1.3 Frota Total'!G31</f>
        <v>0</v>
      </c>
      <c r="I19" s="150">
        <f>'1.3 Frota Total'!H31</f>
        <v>0</v>
      </c>
      <c r="J19" s="317">
        <v>1</v>
      </c>
    </row>
    <row r="20" spans="1:13" hidden="1" x14ac:dyDescent="0.25">
      <c r="A20" s="725"/>
      <c r="B20" s="726"/>
      <c r="C20" s="726"/>
      <c r="D20" s="727"/>
      <c r="E20" s="147">
        <v>1</v>
      </c>
      <c r="F20" s="151">
        <f>'1.3 Frota Total'!E32</f>
        <v>0</v>
      </c>
      <c r="G20" s="151">
        <f>'1.3 Frota Total'!F32</f>
        <v>0</v>
      </c>
      <c r="H20" s="151">
        <f>'1.3 Frota Total'!G32</f>
        <v>0</v>
      </c>
      <c r="I20" s="152">
        <f>'1.3 Frota Total'!H32</f>
        <v>0</v>
      </c>
      <c r="J20" s="318">
        <f>1-'A.IX.a. Deprec. veículos'!D19*12</f>
        <v>1</v>
      </c>
      <c r="M20" s="309"/>
    </row>
    <row r="21" spans="1:13" hidden="1" x14ac:dyDescent="0.25">
      <c r="A21" s="725"/>
      <c r="B21" s="726"/>
      <c r="C21" s="726"/>
      <c r="D21" s="727"/>
      <c r="E21" s="147">
        <v>2</v>
      </c>
      <c r="F21" s="151">
        <f>'1.3 Frota Total'!E33</f>
        <v>0</v>
      </c>
      <c r="G21" s="151">
        <f>'1.3 Frota Total'!F33</f>
        <v>0</v>
      </c>
      <c r="H21" s="151">
        <f>'1.3 Frota Total'!G33</f>
        <v>0</v>
      </c>
      <c r="I21" s="152">
        <f>'1.3 Frota Total'!H33</f>
        <v>0</v>
      </c>
      <c r="J21" s="318">
        <f>1-SUM('A.IX.a. Deprec. veículos'!D19:D20)*12</f>
        <v>1</v>
      </c>
      <c r="M21" s="309"/>
    </row>
    <row r="22" spans="1:13" hidden="1" x14ac:dyDescent="0.25">
      <c r="A22" s="725"/>
      <c r="B22" s="726"/>
      <c r="C22" s="726"/>
      <c r="D22" s="727"/>
      <c r="E22" s="147">
        <v>3</v>
      </c>
      <c r="F22" s="151">
        <f>'1.3 Frota Total'!E34</f>
        <v>0</v>
      </c>
      <c r="G22" s="151">
        <f>'1.3 Frota Total'!F34</f>
        <v>0</v>
      </c>
      <c r="H22" s="151">
        <f>'1.3 Frota Total'!G34</f>
        <v>0</v>
      </c>
      <c r="I22" s="152">
        <f>'1.3 Frota Total'!H34</f>
        <v>0</v>
      </c>
      <c r="J22" s="318">
        <f>1-SUM('A.IX.a. Deprec. veículos'!D19:D21)*12</f>
        <v>1</v>
      </c>
      <c r="L22" s="61"/>
      <c r="M22" s="309"/>
    </row>
    <row r="23" spans="1:13" hidden="1" x14ac:dyDescent="0.25">
      <c r="A23" s="725"/>
      <c r="B23" s="726"/>
      <c r="C23" s="726"/>
      <c r="D23" s="727"/>
      <c r="E23" s="147">
        <v>4</v>
      </c>
      <c r="F23" s="151">
        <f>'1.3 Frota Total'!E35</f>
        <v>0</v>
      </c>
      <c r="G23" s="151">
        <f>'1.3 Frota Total'!F35</f>
        <v>0</v>
      </c>
      <c r="H23" s="151">
        <f>'1.3 Frota Total'!G35</f>
        <v>0</v>
      </c>
      <c r="I23" s="152">
        <f>'1.3 Frota Total'!H35</f>
        <v>0</v>
      </c>
      <c r="J23" s="318">
        <f>1-SUM('A.IX.a. Deprec. veículos'!D19:D22)*12</f>
        <v>1</v>
      </c>
      <c r="M23" s="309"/>
    </row>
    <row r="24" spans="1:13" ht="15.75" hidden="1" thickBot="1" x14ac:dyDescent="0.3">
      <c r="A24" s="728"/>
      <c r="B24" s="729"/>
      <c r="C24" s="729"/>
      <c r="D24" s="730"/>
      <c r="E24" s="148">
        <v>5</v>
      </c>
      <c r="F24" s="153">
        <f>'1.3 Frota Total'!E36</f>
        <v>0</v>
      </c>
      <c r="G24" s="153">
        <f>'1.3 Frota Total'!F36</f>
        <v>0</v>
      </c>
      <c r="H24" s="153">
        <f>'1.3 Frota Total'!G36</f>
        <v>0</v>
      </c>
      <c r="I24" s="154">
        <f>'1.3 Frota Total'!H36</f>
        <v>0</v>
      </c>
      <c r="J24" s="319">
        <f>1-SUM('A.IX.a. Deprec. veículos'!D19:D23)*12</f>
        <v>1</v>
      </c>
    </row>
    <row r="25" spans="1:13" hidden="1" x14ac:dyDescent="0.25">
      <c r="A25" s="722" t="s">
        <v>11</v>
      </c>
      <c r="B25" s="723"/>
      <c r="C25" s="723"/>
      <c r="D25" s="724"/>
      <c r="E25" s="146">
        <v>0</v>
      </c>
      <c r="F25" s="149">
        <f>'1.3 Frota Total'!E37</f>
        <v>0</v>
      </c>
      <c r="G25" s="149">
        <f>'1.3 Frota Total'!F37</f>
        <v>0</v>
      </c>
      <c r="H25" s="149">
        <f>'1.3 Frota Total'!G37</f>
        <v>0</v>
      </c>
      <c r="I25" s="162">
        <f>'1.3 Frota Total'!H37</f>
        <v>0</v>
      </c>
      <c r="J25" s="317">
        <v>1</v>
      </c>
    </row>
    <row r="26" spans="1:13" hidden="1" x14ac:dyDescent="0.25">
      <c r="A26" s="725"/>
      <c r="B26" s="726"/>
      <c r="C26" s="726"/>
      <c r="D26" s="727"/>
      <c r="E26" s="147">
        <v>1</v>
      </c>
      <c r="F26" s="151">
        <f>'1.3 Frota Total'!E38</f>
        <v>0</v>
      </c>
      <c r="G26" s="151">
        <f>'1.3 Frota Total'!F38</f>
        <v>0</v>
      </c>
      <c r="H26" s="151">
        <f>'1.3 Frota Total'!G38</f>
        <v>0</v>
      </c>
      <c r="I26" s="163">
        <f>'1.3 Frota Total'!H38</f>
        <v>0</v>
      </c>
      <c r="J26" s="318">
        <f>1-'A.IX.a. Deprec. veículos'!D19*12</f>
        <v>1</v>
      </c>
      <c r="M26" s="309"/>
    </row>
    <row r="27" spans="1:13" hidden="1" x14ac:dyDescent="0.25">
      <c r="A27" s="725"/>
      <c r="B27" s="726"/>
      <c r="C27" s="726"/>
      <c r="D27" s="727"/>
      <c r="E27" s="147">
        <v>2</v>
      </c>
      <c r="F27" s="151">
        <f>'1.3 Frota Total'!E39</f>
        <v>0</v>
      </c>
      <c r="G27" s="151">
        <f>'1.3 Frota Total'!F39</f>
        <v>0</v>
      </c>
      <c r="H27" s="151">
        <f>'1.3 Frota Total'!G39</f>
        <v>0</v>
      </c>
      <c r="I27" s="163">
        <f>'1.3 Frota Total'!H39</f>
        <v>0</v>
      </c>
      <c r="J27" s="318">
        <f>1-SUM('A.IX.a. Deprec. veículos'!D19:D20)*12</f>
        <v>1</v>
      </c>
      <c r="M27" s="309"/>
    </row>
    <row r="28" spans="1:13" hidden="1" x14ac:dyDescent="0.25">
      <c r="A28" s="725"/>
      <c r="B28" s="726"/>
      <c r="C28" s="726"/>
      <c r="D28" s="727"/>
      <c r="E28" s="147">
        <v>3</v>
      </c>
      <c r="F28" s="151">
        <f>'1.3 Frota Total'!E40</f>
        <v>0</v>
      </c>
      <c r="G28" s="151">
        <f>'1.3 Frota Total'!F40</f>
        <v>0</v>
      </c>
      <c r="H28" s="151">
        <f>'1.3 Frota Total'!G40</f>
        <v>0</v>
      </c>
      <c r="I28" s="163">
        <f>'1.3 Frota Total'!H40</f>
        <v>0</v>
      </c>
      <c r="J28" s="318">
        <f>1-SUM('A.IX.a. Deprec. veículos'!D19:D21)*12</f>
        <v>1</v>
      </c>
      <c r="M28" s="309"/>
    </row>
    <row r="29" spans="1:13" hidden="1" x14ac:dyDescent="0.25">
      <c r="A29" s="725"/>
      <c r="B29" s="726"/>
      <c r="C29" s="726"/>
      <c r="D29" s="727"/>
      <c r="E29" s="147">
        <v>4</v>
      </c>
      <c r="F29" s="151">
        <f>'1.3 Frota Total'!E41</f>
        <v>0</v>
      </c>
      <c r="G29" s="151">
        <f>'1.3 Frota Total'!F41</f>
        <v>0</v>
      </c>
      <c r="H29" s="151">
        <f>'1.3 Frota Total'!G41</f>
        <v>0</v>
      </c>
      <c r="I29" s="163">
        <f>'1.3 Frota Total'!H41</f>
        <v>0</v>
      </c>
      <c r="J29" s="318">
        <f>1-SUM('A.IX.a. Deprec. veículos'!D19:D22)*12</f>
        <v>1</v>
      </c>
      <c r="M29" s="309"/>
    </row>
    <row r="30" spans="1:13" ht="15.75" hidden="1" thickBot="1" x14ac:dyDescent="0.3">
      <c r="A30" s="728"/>
      <c r="B30" s="729"/>
      <c r="C30" s="729"/>
      <c r="D30" s="730"/>
      <c r="E30" s="148">
        <v>5</v>
      </c>
      <c r="F30" s="153">
        <f>'1.3 Frota Total'!E42</f>
        <v>0</v>
      </c>
      <c r="G30" s="153">
        <f>'1.3 Frota Total'!F42</f>
        <v>0</v>
      </c>
      <c r="H30" s="153">
        <f>'1.3 Frota Total'!G42</f>
        <v>0</v>
      </c>
      <c r="I30" s="164">
        <f>'1.3 Frota Total'!H42</f>
        <v>0</v>
      </c>
      <c r="J30" s="319">
        <f>1-SUM('A.IX.a. Deprec. veículos'!D19:D23)*12</f>
        <v>1</v>
      </c>
    </row>
    <row r="31" spans="1:13" hidden="1" x14ac:dyDescent="0.25">
      <c r="A31" s="725" t="s">
        <v>12</v>
      </c>
      <c r="B31" s="726"/>
      <c r="C31" s="726"/>
      <c r="D31" s="727"/>
      <c r="E31" s="310">
        <v>0</v>
      </c>
      <c r="F31" s="313">
        <f>'1.3 Frota Total'!E43</f>
        <v>0</v>
      </c>
      <c r="G31" s="313">
        <f>'1.3 Frota Total'!F43</f>
        <v>0</v>
      </c>
      <c r="H31" s="313">
        <f>'1.3 Frota Total'!G43</f>
        <v>0</v>
      </c>
      <c r="I31" s="316">
        <f>'1.3 Frota Total'!H43</f>
        <v>0</v>
      </c>
      <c r="J31" s="356">
        <v>1</v>
      </c>
    </row>
    <row r="32" spans="1:13" hidden="1" x14ac:dyDescent="0.25">
      <c r="A32" s="725"/>
      <c r="B32" s="726"/>
      <c r="C32" s="726"/>
      <c r="D32" s="727"/>
      <c r="E32" s="147">
        <v>1</v>
      </c>
      <c r="F32" s="151">
        <f>'1.3 Frota Total'!E44</f>
        <v>0</v>
      </c>
      <c r="G32" s="151">
        <f>'1.3 Frota Total'!F44</f>
        <v>0</v>
      </c>
      <c r="H32" s="151">
        <f>'1.3 Frota Total'!G44</f>
        <v>0</v>
      </c>
      <c r="I32" s="163">
        <f>'1.3 Frota Total'!H44</f>
        <v>0</v>
      </c>
      <c r="J32" s="318">
        <f>1-'A.IX.a. Deprec. veículos'!E19*12</f>
        <v>0.8</v>
      </c>
    </row>
    <row r="33" spans="1:10" hidden="1" x14ac:dyDescent="0.25">
      <c r="A33" s="725"/>
      <c r="B33" s="726"/>
      <c r="C33" s="726"/>
      <c r="D33" s="727"/>
      <c r="E33" s="147">
        <v>2</v>
      </c>
      <c r="F33" s="151">
        <f>'1.3 Frota Total'!E45</f>
        <v>0</v>
      </c>
      <c r="G33" s="151">
        <f>'1.3 Frota Total'!F45</f>
        <v>0</v>
      </c>
      <c r="H33" s="151">
        <f>'1.3 Frota Total'!G45</f>
        <v>0</v>
      </c>
      <c r="I33" s="163">
        <f>'1.3 Frota Total'!H45</f>
        <v>0</v>
      </c>
      <c r="J33" s="318">
        <f>1-SUM('A.IX.a. Deprec. veículos'!E19:E20)*12</f>
        <v>0.625</v>
      </c>
    </row>
    <row r="34" spans="1:10" hidden="1" x14ac:dyDescent="0.25">
      <c r="A34" s="725"/>
      <c r="B34" s="726"/>
      <c r="C34" s="726"/>
      <c r="D34" s="727"/>
      <c r="E34" s="147">
        <v>3</v>
      </c>
      <c r="F34" s="151">
        <f>'1.3 Frota Total'!E46</f>
        <v>0</v>
      </c>
      <c r="G34" s="151">
        <f>'1.3 Frota Total'!F46</f>
        <v>0</v>
      </c>
      <c r="H34" s="151">
        <f>'1.3 Frota Total'!G46</f>
        <v>0</v>
      </c>
      <c r="I34" s="163">
        <f>'1.3 Frota Total'!H46</f>
        <v>0</v>
      </c>
      <c r="J34" s="318">
        <f>1-SUM('A.IX.a. Deprec. veículos'!E19:E21)*12</f>
        <v>0.47499999999999998</v>
      </c>
    </row>
    <row r="35" spans="1:10" hidden="1" x14ac:dyDescent="0.25">
      <c r="A35" s="725"/>
      <c r="B35" s="726"/>
      <c r="C35" s="726"/>
      <c r="D35" s="727"/>
      <c r="E35" s="147">
        <v>4</v>
      </c>
      <c r="F35" s="151">
        <f>'1.3 Frota Total'!E47</f>
        <v>0</v>
      </c>
      <c r="G35" s="151">
        <f>'1.3 Frota Total'!F47</f>
        <v>0</v>
      </c>
      <c r="H35" s="151">
        <f>'1.3 Frota Total'!G47</f>
        <v>0</v>
      </c>
      <c r="I35" s="163">
        <f>'1.3 Frota Total'!H47</f>
        <v>0</v>
      </c>
      <c r="J35" s="318">
        <f>1-SUM('A.IX.a. Deprec. veículos'!E19:E22)*12</f>
        <v>0.35</v>
      </c>
    </row>
    <row r="36" spans="1:10" hidden="1" x14ac:dyDescent="0.25">
      <c r="A36" s="725"/>
      <c r="B36" s="726"/>
      <c r="C36" s="726"/>
      <c r="D36" s="727"/>
      <c r="E36" s="147">
        <v>5</v>
      </c>
      <c r="F36" s="151">
        <f>'1.3 Frota Total'!E48</f>
        <v>0</v>
      </c>
      <c r="G36" s="151">
        <f>'1.3 Frota Total'!F48</f>
        <v>0</v>
      </c>
      <c r="H36" s="151">
        <f>'1.3 Frota Total'!G48</f>
        <v>0</v>
      </c>
      <c r="I36" s="163">
        <f>'1.3 Frota Total'!H48</f>
        <v>0</v>
      </c>
      <c r="J36" s="318">
        <f>1-SUM('A.IX.a. Deprec. veículos'!E19:E23)*12</f>
        <v>0.25</v>
      </c>
    </row>
    <row r="37" spans="1:10" hidden="1" x14ac:dyDescent="0.25">
      <c r="A37" s="725"/>
      <c r="B37" s="726"/>
      <c r="C37" s="726"/>
      <c r="D37" s="727"/>
      <c r="E37" s="147">
        <v>6</v>
      </c>
      <c r="F37" s="151">
        <f>'1.3 Frota Total'!E49</f>
        <v>0</v>
      </c>
      <c r="G37" s="151">
        <f>'1.3 Frota Total'!F49</f>
        <v>0</v>
      </c>
      <c r="H37" s="151">
        <f>'1.3 Frota Total'!G49</f>
        <v>0</v>
      </c>
      <c r="I37" s="163">
        <f>'1.3 Frota Total'!H49</f>
        <v>0</v>
      </c>
      <c r="J37" s="318">
        <f>1-SUM('A.IX.a. Deprec. veículos'!E19:E24)*12</f>
        <v>0.17499999999999993</v>
      </c>
    </row>
    <row r="38" spans="1:10" hidden="1" x14ac:dyDescent="0.25">
      <c r="A38" s="725"/>
      <c r="B38" s="726"/>
      <c r="C38" s="726"/>
      <c r="D38" s="727"/>
      <c r="E38" s="147">
        <v>7</v>
      </c>
      <c r="F38" s="151">
        <f>'1.3 Frota Total'!E50</f>
        <v>0</v>
      </c>
      <c r="G38" s="151">
        <f>'1.3 Frota Total'!F50</f>
        <v>0</v>
      </c>
      <c r="H38" s="151">
        <f>'1.3 Frota Total'!G50</f>
        <v>0</v>
      </c>
      <c r="I38" s="163">
        <f>'1.3 Frota Total'!H50</f>
        <v>0</v>
      </c>
      <c r="J38" s="318">
        <f>1-SUM('A.IX.a. Deprec. veículos'!E19:E25)*12</f>
        <v>0.125</v>
      </c>
    </row>
    <row r="39" spans="1:10" ht="15.75" hidden="1" thickBot="1" x14ac:dyDescent="0.3">
      <c r="A39" s="725"/>
      <c r="B39" s="726"/>
      <c r="C39" s="726"/>
      <c r="D39" s="727"/>
      <c r="E39" s="311">
        <v>8</v>
      </c>
      <c r="F39" s="151">
        <f>'1.3 Frota Total'!E51</f>
        <v>0</v>
      </c>
      <c r="G39" s="151">
        <f>'1.3 Frota Total'!F51</f>
        <v>0</v>
      </c>
      <c r="H39" s="151">
        <f>'1.3 Frota Total'!G51</f>
        <v>0</v>
      </c>
      <c r="I39" s="163">
        <f>'1.3 Frota Total'!H51</f>
        <v>0</v>
      </c>
      <c r="J39" s="319">
        <f>1-SUM('A.IX.a. Deprec. veículos'!E19:E26)*12</f>
        <v>9.9999999999999867E-2</v>
      </c>
    </row>
    <row r="40" spans="1:10" x14ac:dyDescent="0.25">
      <c r="A40" s="743" t="s">
        <v>13</v>
      </c>
      <c r="B40" s="744"/>
      <c r="C40" s="744"/>
      <c r="D40" s="744"/>
      <c r="E40" s="146">
        <v>0</v>
      </c>
      <c r="F40" s="149">
        <f>'1.3 Frota Total'!E52</f>
        <v>0</v>
      </c>
      <c r="G40" s="149">
        <f>'1.3 Frota Total'!F52</f>
        <v>0</v>
      </c>
      <c r="H40" s="149">
        <f>'1.3 Frota Total'!G52</f>
        <v>0</v>
      </c>
      <c r="I40" s="162">
        <f>'1.3 Frota Total'!H52</f>
        <v>0</v>
      </c>
      <c r="J40" s="317">
        <v>1</v>
      </c>
    </row>
    <row r="41" spans="1:10" x14ac:dyDescent="0.25">
      <c r="A41" s="745"/>
      <c r="B41" s="746"/>
      <c r="C41" s="746"/>
      <c r="D41" s="746"/>
      <c r="E41" s="147">
        <v>1</v>
      </c>
      <c r="F41" s="151">
        <f>'1.3 Frota Total'!E53</f>
        <v>0</v>
      </c>
      <c r="G41" s="151">
        <f>'1.3 Frota Total'!F53</f>
        <v>0</v>
      </c>
      <c r="H41" s="151">
        <f>'1.3 Frota Total'!G53</f>
        <v>0</v>
      </c>
      <c r="I41" s="163">
        <f>'1.3 Frota Total'!H53</f>
        <v>0</v>
      </c>
      <c r="J41" s="318">
        <f>1-'A.IX.a. Deprec. veículos'!E19*12</f>
        <v>0.8</v>
      </c>
    </row>
    <row r="42" spans="1:10" x14ac:dyDescent="0.25">
      <c r="A42" s="745"/>
      <c r="B42" s="746"/>
      <c r="C42" s="746"/>
      <c r="D42" s="746"/>
      <c r="E42" s="147">
        <v>2</v>
      </c>
      <c r="F42" s="151">
        <f>'1.3 Frota Total'!E54</f>
        <v>0</v>
      </c>
      <c r="G42" s="151">
        <f>'1.3 Frota Total'!F54</f>
        <v>0</v>
      </c>
      <c r="H42" s="151">
        <f>'1.3 Frota Total'!G54</f>
        <v>0</v>
      </c>
      <c r="I42" s="163">
        <f>'1.3 Frota Total'!H54</f>
        <v>0</v>
      </c>
      <c r="J42" s="318">
        <f>1-SUM('A.IX.a. Deprec. veículos'!E19:E20)*12</f>
        <v>0.625</v>
      </c>
    </row>
    <row r="43" spans="1:10" x14ac:dyDescent="0.25">
      <c r="A43" s="745"/>
      <c r="B43" s="746"/>
      <c r="C43" s="746"/>
      <c r="D43" s="746"/>
      <c r="E43" s="147">
        <v>3</v>
      </c>
      <c r="F43" s="515">
        <f>'1.3 Frota Total'!E55</f>
        <v>0</v>
      </c>
      <c r="G43" s="151">
        <f>'1.3 Frota Total'!F55</f>
        <v>0</v>
      </c>
      <c r="H43" s="151">
        <f>'1.3 Frota Total'!G55</f>
        <v>0</v>
      </c>
      <c r="I43" s="163">
        <f>'1.3 Frota Total'!H55</f>
        <v>0</v>
      </c>
      <c r="J43" s="318">
        <f>1-SUM('A.IX.a. Deprec. veículos'!E19:E21)*12</f>
        <v>0.47499999999999998</v>
      </c>
    </row>
    <row r="44" spans="1:10" x14ac:dyDescent="0.25">
      <c r="A44" s="745"/>
      <c r="B44" s="746"/>
      <c r="C44" s="746"/>
      <c r="D44" s="746"/>
      <c r="E44" s="147">
        <v>4</v>
      </c>
      <c r="F44" s="515">
        <f>'1.3 Frota Total'!E56</f>
        <v>0</v>
      </c>
      <c r="G44" s="151">
        <f>'1.3 Frota Total'!F56</f>
        <v>0</v>
      </c>
      <c r="H44" s="151">
        <f>'1.3 Frota Total'!G56</f>
        <v>0</v>
      </c>
      <c r="I44" s="163">
        <f>'1.3 Frota Total'!H56</f>
        <v>0</v>
      </c>
      <c r="J44" s="318">
        <f>1-SUM('A.IX.a. Deprec. veículos'!E19:E22)*12</f>
        <v>0.35</v>
      </c>
    </row>
    <row r="45" spans="1:10" x14ac:dyDescent="0.25">
      <c r="A45" s="745"/>
      <c r="B45" s="746"/>
      <c r="C45" s="746"/>
      <c r="D45" s="746"/>
      <c r="E45" s="147">
        <v>5</v>
      </c>
      <c r="F45" s="515">
        <f>'1.3 Frota Total'!E57</f>
        <v>2</v>
      </c>
      <c r="G45" s="151">
        <f>'1.3 Frota Total'!F57</f>
        <v>0</v>
      </c>
      <c r="H45" s="151">
        <f>'1.3 Frota Total'!G57</f>
        <v>0</v>
      </c>
      <c r="I45" s="163">
        <f>'1.3 Frota Total'!H57</f>
        <v>0</v>
      </c>
      <c r="J45" s="318">
        <f>1-SUM('A.IX.a. Deprec. veículos'!E19:E23)*12</f>
        <v>0.25</v>
      </c>
    </row>
    <row r="46" spans="1:10" x14ac:dyDescent="0.25">
      <c r="A46" s="745"/>
      <c r="B46" s="746"/>
      <c r="C46" s="746"/>
      <c r="D46" s="746"/>
      <c r="E46" s="147">
        <v>6</v>
      </c>
      <c r="F46" s="515">
        <f>'1.3 Frota Total'!E58</f>
        <v>0</v>
      </c>
      <c r="G46" s="151">
        <f>'1.3 Frota Total'!F58</f>
        <v>0</v>
      </c>
      <c r="H46" s="151">
        <f>'1.3 Frota Total'!G58</f>
        <v>2</v>
      </c>
      <c r="I46" s="163">
        <f>'1.3 Frota Total'!H58</f>
        <v>0</v>
      </c>
      <c r="J46" s="318">
        <f>1-SUM('A.IX.a. Deprec. veículos'!E19:E24)*12</f>
        <v>0.17499999999999993</v>
      </c>
    </row>
    <row r="47" spans="1:10" x14ac:dyDescent="0.25">
      <c r="A47" s="745"/>
      <c r="B47" s="746"/>
      <c r="C47" s="746"/>
      <c r="D47" s="746"/>
      <c r="E47" s="147">
        <v>7</v>
      </c>
      <c r="F47" s="515">
        <f>'1.3 Frota Total'!E59</f>
        <v>0</v>
      </c>
      <c r="G47" s="151">
        <f>'1.3 Frota Total'!F59</f>
        <v>0</v>
      </c>
      <c r="H47" s="151">
        <f>'1.3 Frota Total'!G59</f>
        <v>0</v>
      </c>
      <c r="I47" s="163">
        <f>'1.3 Frota Total'!H59</f>
        <v>0</v>
      </c>
      <c r="J47" s="318">
        <f>1-SUM('A.IX.a. Deprec. veículos'!E19:E25)*12</f>
        <v>0.125</v>
      </c>
    </row>
    <row r="48" spans="1:10" ht="15.75" thickBot="1" x14ac:dyDescent="0.3">
      <c r="A48" s="772"/>
      <c r="B48" s="773"/>
      <c r="C48" s="773"/>
      <c r="D48" s="773"/>
      <c r="E48" s="148">
        <v>8</v>
      </c>
      <c r="F48" s="515">
        <f>'1.3 Frota Total'!E60</f>
        <v>12</v>
      </c>
      <c r="G48" s="153">
        <f>'1.3 Frota Total'!F60</f>
        <v>0</v>
      </c>
      <c r="H48" s="153">
        <f>'1.3 Frota Total'!G60</f>
        <v>0</v>
      </c>
      <c r="I48" s="164">
        <f>'1.3 Frota Total'!H60</f>
        <v>0</v>
      </c>
      <c r="J48" s="319">
        <f>1-SUM('A.IX.a. Deprec. veículos'!E19:E26)*12</f>
        <v>9.9999999999999867E-2</v>
      </c>
    </row>
    <row r="49" spans="1:10" hidden="1" x14ac:dyDescent="0.25">
      <c r="A49" s="725" t="s">
        <v>14</v>
      </c>
      <c r="B49" s="726"/>
      <c r="C49" s="726"/>
      <c r="D49" s="727"/>
      <c r="E49" s="310">
        <v>0</v>
      </c>
      <c r="F49" s="313">
        <f>'1.3 Frota Total'!E61</f>
        <v>0</v>
      </c>
      <c r="G49" s="313">
        <f>'1.3 Frota Total'!F61</f>
        <v>0</v>
      </c>
      <c r="H49" s="313">
        <f>'1.3 Frota Total'!G61</f>
        <v>0</v>
      </c>
      <c r="I49" s="314">
        <f>'1.3 Frota Total'!H61</f>
        <v>0</v>
      </c>
      <c r="J49" s="173">
        <v>1</v>
      </c>
    </row>
    <row r="50" spans="1:10" hidden="1" x14ac:dyDescent="0.25">
      <c r="A50" s="725"/>
      <c r="B50" s="726"/>
      <c r="C50" s="726"/>
      <c r="D50" s="727"/>
      <c r="E50" s="147">
        <v>1</v>
      </c>
      <c r="F50" s="151">
        <f>'1.3 Frota Total'!E62</f>
        <v>0</v>
      </c>
      <c r="G50" s="151">
        <f>'1.3 Frota Total'!F62</f>
        <v>0</v>
      </c>
      <c r="H50" s="151">
        <f>'1.3 Frota Total'!G62</f>
        <v>0</v>
      </c>
      <c r="I50" s="152">
        <f>'1.3 Frota Total'!H62</f>
        <v>0</v>
      </c>
      <c r="J50" s="174">
        <f>1-'A.IX.a. Deprec. veículos'!F19*12</f>
        <v>0.83636363636363642</v>
      </c>
    </row>
    <row r="51" spans="1:10" hidden="1" x14ac:dyDescent="0.25">
      <c r="A51" s="725"/>
      <c r="B51" s="726"/>
      <c r="C51" s="726"/>
      <c r="D51" s="727"/>
      <c r="E51" s="147">
        <v>2</v>
      </c>
      <c r="F51" s="151">
        <f>'1.3 Frota Total'!E63</f>
        <v>0</v>
      </c>
      <c r="G51" s="151">
        <f>'1.3 Frota Total'!F63</f>
        <v>0</v>
      </c>
      <c r="H51" s="151">
        <f>'1.3 Frota Total'!G63</f>
        <v>0</v>
      </c>
      <c r="I51" s="152">
        <f>'1.3 Frota Total'!H63</f>
        <v>0</v>
      </c>
      <c r="J51" s="174">
        <f>1-SUM('A.IX.a. Deprec. veículos'!F19:F20)*12</f>
        <v>0.68909090909090909</v>
      </c>
    </row>
    <row r="52" spans="1:10" hidden="1" x14ac:dyDescent="0.25">
      <c r="A52" s="725"/>
      <c r="B52" s="726"/>
      <c r="C52" s="726"/>
      <c r="D52" s="727"/>
      <c r="E52" s="147">
        <v>3</v>
      </c>
      <c r="F52" s="151">
        <f>'1.3 Frota Total'!E64</f>
        <v>0</v>
      </c>
      <c r="G52" s="151">
        <f>'1.3 Frota Total'!F64</f>
        <v>0</v>
      </c>
      <c r="H52" s="151">
        <f>'1.3 Frota Total'!G64</f>
        <v>0</v>
      </c>
      <c r="I52" s="152">
        <f>'1.3 Frota Total'!H64</f>
        <v>0</v>
      </c>
      <c r="J52" s="174">
        <f>1-SUM('A.IX.a. Deprec. veículos'!F19:F21)*12</f>
        <v>0.55818181818181811</v>
      </c>
    </row>
    <row r="53" spans="1:10" hidden="1" x14ac:dyDescent="0.25">
      <c r="A53" s="725"/>
      <c r="B53" s="726"/>
      <c r="C53" s="726"/>
      <c r="D53" s="727"/>
      <c r="E53" s="147">
        <v>4</v>
      </c>
      <c r="F53" s="151">
        <f>'1.3 Frota Total'!E65</f>
        <v>0</v>
      </c>
      <c r="G53" s="151">
        <f>'1.3 Frota Total'!F65</f>
        <v>0</v>
      </c>
      <c r="H53" s="151">
        <f>'1.3 Frota Total'!G65</f>
        <v>0</v>
      </c>
      <c r="I53" s="152">
        <f>'1.3 Frota Total'!H65</f>
        <v>0</v>
      </c>
      <c r="J53" s="174">
        <f>1-SUM('A.IX.a. Deprec. veículos'!F19:F22)*12</f>
        <v>0.44363636363636361</v>
      </c>
    </row>
    <row r="54" spans="1:10" hidden="1" x14ac:dyDescent="0.25">
      <c r="A54" s="725"/>
      <c r="B54" s="726"/>
      <c r="C54" s="726"/>
      <c r="D54" s="727"/>
      <c r="E54" s="147">
        <v>5</v>
      </c>
      <c r="F54" s="151">
        <f>'1.3 Frota Total'!E66</f>
        <v>0</v>
      </c>
      <c r="G54" s="151">
        <f>'1.3 Frota Total'!F66</f>
        <v>0</v>
      </c>
      <c r="H54" s="151">
        <f>'1.3 Frota Total'!G66</f>
        <v>0</v>
      </c>
      <c r="I54" s="152">
        <f>'1.3 Frota Total'!H66</f>
        <v>0</v>
      </c>
      <c r="J54" s="174">
        <f>1-SUM('A.IX.a. Deprec. veículos'!F19:F23)*12</f>
        <v>0.34545454545454546</v>
      </c>
    </row>
    <row r="55" spans="1:10" hidden="1" x14ac:dyDescent="0.25">
      <c r="A55" s="725"/>
      <c r="B55" s="726"/>
      <c r="C55" s="726"/>
      <c r="D55" s="727"/>
      <c r="E55" s="147">
        <v>6</v>
      </c>
      <c r="F55" s="151">
        <f>'1.3 Frota Total'!E67</f>
        <v>0</v>
      </c>
      <c r="G55" s="151">
        <f>'1.3 Frota Total'!F67</f>
        <v>0</v>
      </c>
      <c r="H55" s="151">
        <f>'1.3 Frota Total'!G67</f>
        <v>0</v>
      </c>
      <c r="I55" s="152">
        <f>'1.3 Frota Total'!H67</f>
        <v>0</v>
      </c>
      <c r="J55" s="174">
        <f>1-SUM('A.IX.a. Deprec. veículos'!F19:F24)*12</f>
        <v>0.26363636363636356</v>
      </c>
    </row>
    <row r="56" spans="1:10" hidden="1" x14ac:dyDescent="0.25">
      <c r="A56" s="725"/>
      <c r="B56" s="726"/>
      <c r="C56" s="726"/>
      <c r="D56" s="727"/>
      <c r="E56" s="147">
        <v>7</v>
      </c>
      <c r="F56" s="151">
        <f>'1.3 Frota Total'!E68</f>
        <v>0</v>
      </c>
      <c r="G56" s="151">
        <f>'1.3 Frota Total'!F68</f>
        <v>0</v>
      </c>
      <c r="H56" s="151">
        <f>'1.3 Frota Total'!G68</f>
        <v>0</v>
      </c>
      <c r="I56" s="152">
        <f>'1.3 Frota Total'!H68</f>
        <v>0</v>
      </c>
      <c r="J56" s="174">
        <f>1-SUM('A.IX.a. Deprec. veículos'!F19:F25)*12</f>
        <v>0.19818181818181801</v>
      </c>
    </row>
    <row r="57" spans="1:10" hidden="1" x14ac:dyDescent="0.25">
      <c r="A57" s="725"/>
      <c r="B57" s="726"/>
      <c r="C57" s="726"/>
      <c r="D57" s="727"/>
      <c r="E57" s="147">
        <v>8</v>
      </c>
      <c r="F57" s="151">
        <f>'1.3 Frota Total'!E69</f>
        <v>0</v>
      </c>
      <c r="G57" s="151">
        <f>'1.3 Frota Total'!F69</f>
        <v>0</v>
      </c>
      <c r="H57" s="151">
        <f>'1.3 Frota Total'!G69</f>
        <v>0</v>
      </c>
      <c r="I57" s="152">
        <f>'1.3 Frota Total'!H69</f>
        <v>0</v>
      </c>
      <c r="J57" s="174">
        <f>1-SUM('A.IX.a. Deprec. veículos'!F19:F26)*12</f>
        <v>0.14909090909090894</v>
      </c>
    </row>
    <row r="58" spans="1:10" hidden="1" x14ac:dyDescent="0.25">
      <c r="A58" s="725"/>
      <c r="B58" s="726"/>
      <c r="C58" s="726"/>
      <c r="D58" s="727"/>
      <c r="E58" s="147">
        <v>9</v>
      </c>
      <c r="F58" s="151">
        <f>'1.3 Frota Total'!E70</f>
        <v>0</v>
      </c>
      <c r="G58" s="151">
        <f>'1.3 Frota Total'!F70</f>
        <v>0</v>
      </c>
      <c r="H58" s="151">
        <f>'1.3 Frota Total'!G70</f>
        <v>0</v>
      </c>
      <c r="I58" s="152">
        <f>'1.3 Frota Total'!H70</f>
        <v>0</v>
      </c>
      <c r="J58" s="174">
        <f>1-SUM('A.IX.a. Deprec. veículos'!F19:F27)*12</f>
        <v>0.11636363636363622</v>
      </c>
    </row>
    <row r="59" spans="1:10" ht="15.75" hidden="1" thickBot="1" x14ac:dyDescent="0.3">
      <c r="A59" s="728"/>
      <c r="B59" s="729"/>
      <c r="C59" s="729"/>
      <c r="D59" s="730"/>
      <c r="E59" s="148">
        <v>10</v>
      </c>
      <c r="F59" s="153">
        <f>'1.3 Frota Total'!E71</f>
        <v>0</v>
      </c>
      <c r="G59" s="153">
        <f>'1.3 Frota Total'!F71</f>
        <v>0</v>
      </c>
      <c r="H59" s="153">
        <f>'1.3 Frota Total'!G71</f>
        <v>0</v>
      </c>
      <c r="I59" s="154">
        <f>'1.3 Frota Total'!H71</f>
        <v>0</v>
      </c>
      <c r="J59" s="320">
        <f>1-SUM('A.IX.a. Deprec. veículos'!F19:F28)*12</f>
        <v>9.9999999999999867E-2</v>
      </c>
    </row>
    <row r="60" spans="1:10" hidden="1" x14ac:dyDescent="0.25">
      <c r="A60" s="722" t="s">
        <v>15</v>
      </c>
      <c r="B60" s="723"/>
      <c r="C60" s="723"/>
      <c r="D60" s="724"/>
      <c r="E60" s="146">
        <v>0</v>
      </c>
      <c r="F60" s="149">
        <f>'1.3 Frota Total'!E72</f>
        <v>0</v>
      </c>
      <c r="G60" s="149">
        <f>'1.3 Frota Total'!F72</f>
        <v>0</v>
      </c>
      <c r="H60" s="149">
        <f>'1.3 Frota Total'!G72</f>
        <v>0</v>
      </c>
      <c r="I60" s="162">
        <f>'1.3 Frota Total'!H72</f>
        <v>0</v>
      </c>
      <c r="J60" s="317">
        <v>1</v>
      </c>
    </row>
    <row r="61" spans="1:10" hidden="1" x14ac:dyDescent="0.25">
      <c r="A61" s="725"/>
      <c r="B61" s="726"/>
      <c r="C61" s="726"/>
      <c r="D61" s="727"/>
      <c r="E61" s="147">
        <v>1</v>
      </c>
      <c r="F61" s="151">
        <f>'1.3 Frota Total'!E73</f>
        <v>0</v>
      </c>
      <c r="G61" s="151">
        <f>'1.3 Frota Total'!F73</f>
        <v>0</v>
      </c>
      <c r="H61" s="151">
        <f>'1.3 Frota Total'!G73</f>
        <v>0</v>
      </c>
      <c r="I61" s="163">
        <f>'1.3 Frota Total'!H73</f>
        <v>0</v>
      </c>
      <c r="J61" s="318">
        <f>1-'A.IX.a. Deprec. veículos'!G19*12</f>
        <v>1</v>
      </c>
    </row>
    <row r="62" spans="1:10" hidden="1" x14ac:dyDescent="0.25">
      <c r="A62" s="725"/>
      <c r="B62" s="726"/>
      <c r="C62" s="726"/>
      <c r="D62" s="727"/>
      <c r="E62" s="147">
        <v>2</v>
      </c>
      <c r="F62" s="151">
        <f>'1.3 Frota Total'!E74</f>
        <v>0</v>
      </c>
      <c r="G62" s="151">
        <f>'1.3 Frota Total'!F74</f>
        <v>0</v>
      </c>
      <c r="H62" s="151">
        <f>'1.3 Frota Total'!G74</f>
        <v>0</v>
      </c>
      <c r="I62" s="163">
        <f>'1.3 Frota Total'!H74</f>
        <v>0</v>
      </c>
      <c r="J62" s="318">
        <f>1-SUM('A.IX.a. Deprec. veículos'!G19:G20)*12</f>
        <v>1</v>
      </c>
    </row>
    <row r="63" spans="1:10" hidden="1" x14ac:dyDescent="0.25">
      <c r="A63" s="725"/>
      <c r="B63" s="726"/>
      <c r="C63" s="726"/>
      <c r="D63" s="727"/>
      <c r="E63" s="147">
        <v>3</v>
      </c>
      <c r="F63" s="151">
        <f>'1.3 Frota Total'!E75</f>
        <v>0</v>
      </c>
      <c r="G63" s="151">
        <f>'1.3 Frota Total'!F75</f>
        <v>0</v>
      </c>
      <c r="H63" s="151">
        <f>'1.3 Frota Total'!G75</f>
        <v>0</v>
      </c>
      <c r="I63" s="163">
        <f>'1.3 Frota Total'!H75</f>
        <v>0</v>
      </c>
      <c r="J63" s="318">
        <f>1-SUM('A.IX.a. Deprec. veículos'!G19:G21)*12</f>
        <v>1</v>
      </c>
    </row>
    <row r="64" spans="1:10" hidden="1" x14ac:dyDescent="0.25">
      <c r="A64" s="725"/>
      <c r="B64" s="726"/>
      <c r="C64" s="726"/>
      <c r="D64" s="727"/>
      <c r="E64" s="147">
        <v>4</v>
      </c>
      <c r="F64" s="151">
        <f>'1.3 Frota Total'!E76</f>
        <v>0</v>
      </c>
      <c r="G64" s="151">
        <f>'1.3 Frota Total'!F76</f>
        <v>0</v>
      </c>
      <c r="H64" s="151">
        <f>'1.3 Frota Total'!G76</f>
        <v>0</v>
      </c>
      <c r="I64" s="163">
        <f>'1.3 Frota Total'!H76</f>
        <v>0</v>
      </c>
      <c r="J64" s="318">
        <f>1-SUM('A.IX.a. Deprec. veículos'!G19:G22)*12</f>
        <v>1</v>
      </c>
    </row>
    <row r="65" spans="1:10" hidden="1" x14ac:dyDescent="0.25">
      <c r="A65" s="725"/>
      <c r="B65" s="726"/>
      <c r="C65" s="726"/>
      <c r="D65" s="727"/>
      <c r="E65" s="147">
        <v>5</v>
      </c>
      <c r="F65" s="151">
        <f>'1.3 Frota Total'!E77</f>
        <v>0</v>
      </c>
      <c r="G65" s="151">
        <f>'1.3 Frota Total'!F77</f>
        <v>0</v>
      </c>
      <c r="H65" s="151">
        <f>'1.3 Frota Total'!G77</f>
        <v>0</v>
      </c>
      <c r="I65" s="163">
        <f>'1.3 Frota Total'!H77</f>
        <v>0</v>
      </c>
      <c r="J65" s="318">
        <f>1-SUM('A.IX.a. Deprec. veículos'!G19:G23)*12</f>
        <v>1</v>
      </c>
    </row>
    <row r="66" spans="1:10" hidden="1" x14ac:dyDescent="0.25">
      <c r="A66" s="725"/>
      <c r="B66" s="726"/>
      <c r="C66" s="726"/>
      <c r="D66" s="727"/>
      <c r="E66" s="147">
        <v>6</v>
      </c>
      <c r="F66" s="151">
        <f>'1.3 Frota Total'!E78</f>
        <v>0</v>
      </c>
      <c r="G66" s="151">
        <f>'1.3 Frota Total'!F78</f>
        <v>0</v>
      </c>
      <c r="H66" s="151">
        <f>'1.3 Frota Total'!G78</f>
        <v>0</v>
      </c>
      <c r="I66" s="163">
        <f>'1.3 Frota Total'!H78</f>
        <v>0</v>
      </c>
      <c r="J66" s="318">
        <f>1-SUM('A.IX.a. Deprec. veículos'!G19:G24)*12</f>
        <v>1</v>
      </c>
    </row>
    <row r="67" spans="1:10" hidden="1" x14ac:dyDescent="0.25">
      <c r="A67" s="725"/>
      <c r="B67" s="726"/>
      <c r="C67" s="726"/>
      <c r="D67" s="727"/>
      <c r="E67" s="147">
        <v>7</v>
      </c>
      <c r="F67" s="151">
        <f>'1.3 Frota Total'!E79</f>
        <v>0</v>
      </c>
      <c r="G67" s="151">
        <f>'1.3 Frota Total'!F79</f>
        <v>0</v>
      </c>
      <c r="H67" s="151">
        <f>'1.3 Frota Total'!G79</f>
        <v>0</v>
      </c>
      <c r="I67" s="163">
        <f>'1.3 Frota Total'!H79</f>
        <v>0</v>
      </c>
      <c r="J67" s="318">
        <f>1-SUM('A.IX.a. Deprec. veículos'!G19:G25)*12</f>
        <v>1</v>
      </c>
    </row>
    <row r="68" spans="1:10" hidden="1" x14ac:dyDescent="0.25">
      <c r="A68" s="725"/>
      <c r="B68" s="726"/>
      <c r="C68" s="726"/>
      <c r="D68" s="727"/>
      <c r="E68" s="147">
        <v>8</v>
      </c>
      <c r="F68" s="151">
        <f>'1.3 Frota Total'!E80</f>
        <v>0</v>
      </c>
      <c r="G68" s="151">
        <f>'1.3 Frota Total'!F80</f>
        <v>0</v>
      </c>
      <c r="H68" s="151">
        <f>'1.3 Frota Total'!G80</f>
        <v>0</v>
      </c>
      <c r="I68" s="163">
        <f>'1.3 Frota Total'!H80</f>
        <v>0</v>
      </c>
      <c r="J68" s="318">
        <f>1-SUM('A.IX.a. Deprec. veículos'!G19:G26)*12</f>
        <v>1</v>
      </c>
    </row>
    <row r="69" spans="1:10" hidden="1" x14ac:dyDescent="0.25">
      <c r="A69" s="725"/>
      <c r="B69" s="726"/>
      <c r="C69" s="726"/>
      <c r="D69" s="727"/>
      <c r="E69" s="147">
        <v>9</v>
      </c>
      <c r="F69" s="151">
        <f>'1.3 Frota Total'!E81</f>
        <v>0</v>
      </c>
      <c r="G69" s="151">
        <f>'1.3 Frota Total'!F81</f>
        <v>0</v>
      </c>
      <c r="H69" s="151">
        <f>'1.3 Frota Total'!G81</f>
        <v>0</v>
      </c>
      <c r="I69" s="163">
        <f>'1.3 Frota Total'!H81</f>
        <v>0</v>
      </c>
      <c r="J69" s="318">
        <f>1-SUM('A.IX.a. Deprec. veículos'!G19:G27)*12</f>
        <v>1</v>
      </c>
    </row>
    <row r="70" spans="1:10" hidden="1" x14ac:dyDescent="0.25">
      <c r="A70" s="725"/>
      <c r="B70" s="726"/>
      <c r="C70" s="726"/>
      <c r="D70" s="727"/>
      <c r="E70" s="147">
        <v>10</v>
      </c>
      <c r="F70" s="151">
        <f>'1.3 Frota Total'!E82</f>
        <v>0</v>
      </c>
      <c r="G70" s="151">
        <f>'1.3 Frota Total'!F82</f>
        <v>0</v>
      </c>
      <c r="H70" s="151">
        <f>'1.3 Frota Total'!G82</f>
        <v>0</v>
      </c>
      <c r="I70" s="163">
        <f>'1.3 Frota Total'!H82</f>
        <v>0</v>
      </c>
      <c r="J70" s="318">
        <f>1-SUM('A.IX.a. Deprec. veículos'!G19:G28)*12</f>
        <v>1</v>
      </c>
    </row>
    <row r="71" spans="1:10" hidden="1" x14ac:dyDescent="0.25">
      <c r="A71" s="725"/>
      <c r="B71" s="726"/>
      <c r="C71" s="726"/>
      <c r="D71" s="727"/>
      <c r="E71" s="147">
        <v>11</v>
      </c>
      <c r="F71" s="151">
        <f>'1.3 Frota Total'!E83</f>
        <v>0</v>
      </c>
      <c r="G71" s="151">
        <f>'1.3 Frota Total'!F83</f>
        <v>0</v>
      </c>
      <c r="H71" s="151">
        <f>'1.3 Frota Total'!G83</f>
        <v>0</v>
      </c>
      <c r="I71" s="163">
        <f>'1.3 Frota Total'!H83</f>
        <v>0</v>
      </c>
      <c r="J71" s="318">
        <f>1-SUM('A.IX.a. Deprec. veículos'!G19:G29)*12</f>
        <v>1</v>
      </c>
    </row>
    <row r="72" spans="1:10" ht="15.75" hidden="1" thickBot="1" x14ac:dyDescent="0.3">
      <c r="A72" s="725"/>
      <c r="B72" s="726"/>
      <c r="C72" s="726"/>
      <c r="D72" s="727"/>
      <c r="E72" s="311">
        <v>12</v>
      </c>
      <c r="F72" s="312">
        <f>'1.3 Frota Total'!E84</f>
        <v>0</v>
      </c>
      <c r="G72" s="312">
        <f>'1.3 Frota Total'!F84</f>
        <v>0</v>
      </c>
      <c r="H72" s="312">
        <f>'1.3 Frota Total'!G84</f>
        <v>0</v>
      </c>
      <c r="I72" s="315">
        <f>'1.3 Frota Total'!H84</f>
        <v>0</v>
      </c>
      <c r="J72" s="321">
        <f>1-SUM('A.IX.a. Deprec. veículos'!G19:G30)*12</f>
        <v>1</v>
      </c>
    </row>
    <row r="73" spans="1:10" hidden="1" x14ac:dyDescent="0.25">
      <c r="A73" s="722" t="s">
        <v>16</v>
      </c>
      <c r="B73" s="723"/>
      <c r="C73" s="723"/>
      <c r="D73" s="723"/>
      <c r="E73" s="146">
        <v>0</v>
      </c>
      <c r="F73" s="149">
        <f>'1.3 Frota Total'!E85</f>
        <v>0</v>
      </c>
      <c r="G73" s="149">
        <f>'1.3 Frota Total'!F85</f>
        <v>0</v>
      </c>
      <c r="H73" s="149">
        <f>'1.3 Frota Total'!G85</f>
        <v>0</v>
      </c>
      <c r="I73" s="150">
        <f>'1.3 Frota Total'!H85</f>
        <v>0</v>
      </c>
      <c r="J73" s="317">
        <v>1</v>
      </c>
    </row>
    <row r="74" spans="1:10" hidden="1" x14ac:dyDescent="0.25">
      <c r="A74" s="725"/>
      <c r="B74" s="726"/>
      <c r="C74" s="726"/>
      <c r="D74" s="726"/>
      <c r="E74" s="147">
        <v>1</v>
      </c>
      <c r="F74" s="151">
        <f>'1.3 Frota Total'!E86</f>
        <v>0</v>
      </c>
      <c r="G74" s="151">
        <f>'1.3 Frota Total'!F86</f>
        <v>0</v>
      </c>
      <c r="H74" s="151">
        <f>'1.3 Frota Total'!G86</f>
        <v>0</v>
      </c>
      <c r="I74" s="152">
        <f>'1.3 Frota Total'!H86</f>
        <v>0</v>
      </c>
      <c r="J74" s="318">
        <f>1-'A.IX.a. Deprec. veículos'!G19*12</f>
        <v>1</v>
      </c>
    </row>
    <row r="75" spans="1:10" hidden="1" x14ac:dyDescent="0.25">
      <c r="A75" s="725"/>
      <c r="B75" s="726"/>
      <c r="C75" s="726"/>
      <c r="D75" s="726"/>
      <c r="E75" s="147">
        <v>2</v>
      </c>
      <c r="F75" s="151">
        <f>'1.3 Frota Total'!E87</f>
        <v>0</v>
      </c>
      <c r="G75" s="151">
        <f>'1.3 Frota Total'!F87</f>
        <v>0</v>
      </c>
      <c r="H75" s="151">
        <f>'1.3 Frota Total'!G87</f>
        <v>0</v>
      </c>
      <c r="I75" s="152">
        <f>'1.3 Frota Total'!H87</f>
        <v>0</v>
      </c>
      <c r="J75" s="318">
        <f>1-SUM('A.IX.a. Deprec. veículos'!G19:G20)*12</f>
        <v>1</v>
      </c>
    </row>
    <row r="76" spans="1:10" hidden="1" x14ac:dyDescent="0.25">
      <c r="A76" s="725"/>
      <c r="B76" s="726"/>
      <c r="C76" s="726"/>
      <c r="D76" s="726"/>
      <c r="E76" s="147">
        <v>3</v>
      </c>
      <c r="F76" s="151">
        <f>'1.3 Frota Total'!E88</f>
        <v>0</v>
      </c>
      <c r="G76" s="151">
        <f>'1.3 Frota Total'!F88</f>
        <v>0</v>
      </c>
      <c r="H76" s="151">
        <f>'1.3 Frota Total'!G88</f>
        <v>0</v>
      </c>
      <c r="I76" s="152">
        <f>'1.3 Frota Total'!H88</f>
        <v>0</v>
      </c>
      <c r="J76" s="318">
        <f>1-SUM('A.IX.a. Deprec. veículos'!G19:G21)*12</f>
        <v>1</v>
      </c>
    </row>
    <row r="77" spans="1:10" hidden="1" x14ac:dyDescent="0.25">
      <c r="A77" s="725"/>
      <c r="B77" s="726"/>
      <c r="C77" s="726"/>
      <c r="D77" s="726"/>
      <c r="E77" s="147">
        <v>4</v>
      </c>
      <c r="F77" s="151">
        <f>'1.3 Frota Total'!E89</f>
        <v>0</v>
      </c>
      <c r="G77" s="151">
        <f>'1.3 Frota Total'!F89</f>
        <v>0</v>
      </c>
      <c r="H77" s="151">
        <f>'1.3 Frota Total'!G89</f>
        <v>0</v>
      </c>
      <c r="I77" s="152">
        <f>'1.3 Frota Total'!H89</f>
        <v>0</v>
      </c>
      <c r="J77" s="318">
        <f>1-SUM('A.IX.a. Deprec. veículos'!G19:G22)*12</f>
        <v>1</v>
      </c>
    </row>
    <row r="78" spans="1:10" hidden="1" x14ac:dyDescent="0.25">
      <c r="A78" s="725"/>
      <c r="B78" s="726"/>
      <c r="C78" s="726"/>
      <c r="D78" s="726"/>
      <c r="E78" s="147">
        <v>5</v>
      </c>
      <c r="F78" s="151">
        <f>'1.3 Frota Total'!E90</f>
        <v>0</v>
      </c>
      <c r="G78" s="151">
        <f>'1.3 Frota Total'!F90</f>
        <v>0</v>
      </c>
      <c r="H78" s="151">
        <f>'1.3 Frota Total'!G90</f>
        <v>0</v>
      </c>
      <c r="I78" s="152">
        <f>'1.3 Frota Total'!H90</f>
        <v>0</v>
      </c>
      <c r="J78" s="318">
        <f>1-SUM('A.IX.a. Deprec. veículos'!G19:G23)*12</f>
        <v>1</v>
      </c>
    </row>
    <row r="79" spans="1:10" hidden="1" x14ac:dyDescent="0.25">
      <c r="A79" s="725"/>
      <c r="B79" s="726"/>
      <c r="C79" s="726"/>
      <c r="D79" s="726"/>
      <c r="E79" s="147">
        <v>6</v>
      </c>
      <c r="F79" s="151">
        <f>'1.3 Frota Total'!E91</f>
        <v>0</v>
      </c>
      <c r="G79" s="151">
        <f>'1.3 Frota Total'!F91</f>
        <v>0</v>
      </c>
      <c r="H79" s="151">
        <f>'1.3 Frota Total'!G91</f>
        <v>0</v>
      </c>
      <c r="I79" s="152">
        <f>'1.3 Frota Total'!H91</f>
        <v>0</v>
      </c>
      <c r="J79" s="318">
        <f>1-SUM('A.IX.a. Deprec. veículos'!G19:G24)*12</f>
        <v>1</v>
      </c>
    </row>
    <row r="80" spans="1:10" hidden="1" x14ac:dyDescent="0.25">
      <c r="A80" s="725"/>
      <c r="B80" s="726"/>
      <c r="C80" s="726"/>
      <c r="D80" s="726"/>
      <c r="E80" s="147">
        <v>7</v>
      </c>
      <c r="F80" s="151">
        <f>'1.3 Frota Total'!E92</f>
        <v>0</v>
      </c>
      <c r="G80" s="151">
        <f>'1.3 Frota Total'!F92</f>
        <v>0</v>
      </c>
      <c r="H80" s="151">
        <f>'1.3 Frota Total'!G92</f>
        <v>0</v>
      </c>
      <c r="I80" s="152">
        <f>'1.3 Frota Total'!H92</f>
        <v>0</v>
      </c>
      <c r="J80" s="318">
        <f>1-SUM('A.IX.a. Deprec. veículos'!G19:G25)*12</f>
        <v>1</v>
      </c>
    </row>
    <row r="81" spans="1:10" hidden="1" x14ac:dyDescent="0.25">
      <c r="A81" s="725"/>
      <c r="B81" s="726"/>
      <c r="C81" s="726"/>
      <c r="D81" s="726"/>
      <c r="E81" s="147">
        <v>8</v>
      </c>
      <c r="F81" s="151">
        <f>'1.3 Frota Total'!E93</f>
        <v>0</v>
      </c>
      <c r="G81" s="151">
        <f>'1.3 Frota Total'!F93</f>
        <v>0</v>
      </c>
      <c r="H81" s="151">
        <f>'1.3 Frota Total'!G93</f>
        <v>0</v>
      </c>
      <c r="I81" s="152">
        <f>'1.3 Frota Total'!H93</f>
        <v>0</v>
      </c>
      <c r="J81" s="318">
        <f>1-SUM('A.IX.a. Deprec. veículos'!G19:G26)*12</f>
        <v>1</v>
      </c>
    </row>
    <row r="82" spans="1:10" hidden="1" x14ac:dyDescent="0.25">
      <c r="A82" s="725"/>
      <c r="B82" s="726"/>
      <c r="C82" s="726"/>
      <c r="D82" s="726"/>
      <c r="E82" s="147">
        <v>9</v>
      </c>
      <c r="F82" s="151">
        <f>'1.3 Frota Total'!E94</f>
        <v>0</v>
      </c>
      <c r="G82" s="151">
        <f>'1.3 Frota Total'!F94</f>
        <v>0</v>
      </c>
      <c r="H82" s="151">
        <f>'1.3 Frota Total'!G94</f>
        <v>0</v>
      </c>
      <c r="I82" s="152">
        <f>'1.3 Frota Total'!H94</f>
        <v>0</v>
      </c>
      <c r="J82" s="318">
        <f>1-SUM('A.IX.a. Deprec. veículos'!G19:G27)*12</f>
        <v>1</v>
      </c>
    </row>
    <row r="83" spans="1:10" hidden="1" x14ac:dyDescent="0.25">
      <c r="A83" s="725"/>
      <c r="B83" s="726"/>
      <c r="C83" s="726"/>
      <c r="D83" s="726"/>
      <c r="E83" s="147">
        <v>10</v>
      </c>
      <c r="F83" s="151">
        <f>'1.3 Frota Total'!E95</f>
        <v>0</v>
      </c>
      <c r="G83" s="151">
        <f>'1.3 Frota Total'!F95</f>
        <v>0</v>
      </c>
      <c r="H83" s="151">
        <f>'1.3 Frota Total'!G95</f>
        <v>0</v>
      </c>
      <c r="I83" s="152">
        <f>'1.3 Frota Total'!H95</f>
        <v>0</v>
      </c>
      <c r="J83" s="318">
        <f>1-SUM('A.IX.a. Deprec. veículos'!G19:G28)*12</f>
        <v>1</v>
      </c>
    </row>
    <row r="84" spans="1:10" hidden="1" x14ac:dyDescent="0.25">
      <c r="A84" s="725"/>
      <c r="B84" s="726"/>
      <c r="C84" s="726"/>
      <c r="D84" s="726"/>
      <c r="E84" s="147">
        <v>11</v>
      </c>
      <c r="F84" s="151">
        <f>'1.3 Frota Total'!E96</f>
        <v>0</v>
      </c>
      <c r="G84" s="151">
        <f>'1.3 Frota Total'!F96</f>
        <v>0</v>
      </c>
      <c r="H84" s="151">
        <f>'1.3 Frota Total'!G96</f>
        <v>0</v>
      </c>
      <c r="I84" s="152">
        <f>'1.3 Frota Total'!H96</f>
        <v>0</v>
      </c>
      <c r="J84" s="318">
        <f>1-SUM('A.IX.a. Deprec. veículos'!G19:G29)*12</f>
        <v>1</v>
      </c>
    </row>
    <row r="85" spans="1:10" ht="15.75" hidden="1" thickBot="1" x14ac:dyDescent="0.3">
      <c r="A85" s="728"/>
      <c r="B85" s="729"/>
      <c r="C85" s="729"/>
      <c r="D85" s="729"/>
      <c r="E85" s="148">
        <v>12</v>
      </c>
      <c r="F85" s="151">
        <f>'1.3 Frota Total'!E97</f>
        <v>0</v>
      </c>
      <c r="G85" s="151">
        <f>'1.3 Frota Total'!F97</f>
        <v>0</v>
      </c>
      <c r="H85" s="151">
        <f>'1.3 Frota Total'!G97</f>
        <v>0</v>
      </c>
      <c r="I85" s="152">
        <f>'1.3 Frota Total'!H97</f>
        <v>0</v>
      </c>
      <c r="J85" s="319">
        <f>1-SUM('A.IX.a. Deprec. veículos'!G19:G30)*12</f>
        <v>1</v>
      </c>
    </row>
    <row r="88" spans="1:10" x14ac:dyDescent="0.25">
      <c r="A88" s="22" t="s">
        <v>703</v>
      </c>
      <c r="B88" s="27" t="s">
        <v>145</v>
      </c>
    </row>
    <row r="89" spans="1:10" x14ac:dyDescent="0.25">
      <c r="A89" s="591" t="s">
        <v>7</v>
      </c>
      <c r="B89" s="591"/>
      <c r="C89" s="591"/>
      <c r="D89" s="591"/>
      <c r="E89" s="749" t="s">
        <v>119</v>
      </c>
      <c r="F89" s="785" t="s">
        <v>5</v>
      </c>
      <c r="G89" s="786"/>
      <c r="H89" s="785" t="s">
        <v>6</v>
      </c>
      <c r="I89" s="786"/>
      <c r="J89" s="6"/>
    </row>
    <row r="90" spans="1:10" x14ac:dyDescent="0.25">
      <c r="A90" s="591"/>
      <c r="B90" s="591"/>
      <c r="C90" s="591"/>
      <c r="D90" s="591"/>
      <c r="E90" s="717"/>
      <c r="F90" s="72" t="s">
        <v>8</v>
      </c>
      <c r="G90" s="72" t="s">
        <v>9</v>
      </c>
      <c r="H90" s="72" t="s">
        <v>8</v>
      </c>
      <c r="I90" s="72" t="s">
        <v>9</v>
      </c>
      <c r="J90" s="6"/>
    </row>
    <row r="91" spans="1:10" hidden="1" x14ac:dyDescent="0.25">
      <c r="A91" s="750" t="s">
        <v>127</v>
      </c>
      <c r="B91" s="751"/>
      <c r="C91" s="751"/>
      <c r="D91" s="752"/>
      <c r="E91" s="155">
        <v>0</v>
      </c>
      <c r="F91" s="126">
        <f t="shared" ref="F91:I111" si="0">F19*$J19</f>
        <v>0</v>
      </c>
      <c r="G91" s="126">
        <f t="shared" si="0"/>
        <v>0</v>
      </c>
      <c r="H91" s="126">
        <f t="shared" si="0"/>
        <v>0</v>
      </c>
      <c r="I91" s="322">
        <f t="shared" si="0"/>
        <v>0</v>
      </c>
      <c r="J91" s="6"/>
    </row>
    <row r="92" spans="1:10" hidden="1" x14ac:dyDescent="0.25">
      <c r="A92" s="705"/>
      <c r="B92" s="706"/>
      <c r="C92" s="706"/>
      <c r="D92" s="707"/>
      <c r="E92" s="156">
        <v>1</v>
      </c>
      <c r="F92" s="127">
        <f t="shared" si="0"/>
        <v>0</v>
      </c>
      <c r="G92" s="127">
        <f t="shared" si="0"/>
        <v>0</v>
      </c>
      <c r="H92" s="127">
        <f t="shared" si="0"/>
        <v>0</v>
      </c>
      <c r="I92" s="323">
        <f t="shared" si="0"/>
        <v>0</v>
      </c>
      <c r="J92" s="6"/>
    </row>
    <row r="93" spans="1:10" hidden="1" x14ac:dyDescent="0.25">
      <c r="A93" s="705"/>
      <c r="B93" s="706"/>
      <c r="C93" s="706"/>
      <c r="D93" s="707"/>
      <c r="E93" s="156">
        <v>2</v>
      </c>
      <c r="F93" s="127">
        <f t="shared" si="0"/>
        <v>0</v>
      </c>
      <c r="G93" s="127">
        <f t="shared" si="0"/>
        <v>0</v>
      </c>
      <c r="H93" s="127">
        <f t="shared" si="0"/>
        <v>0</v>
      </c>
      <c r="I93" s="323">
        <f t="shared" si="0"/>
        <v>0</v>
      </c>
      <c r="J93" s="6"/>
    </row>
    <row r="94" spans="1:10" hidden="1" x14ac:dyDescent="0.25">
      <c r="A94" s="705"/>
      <c r="B94" s="706"/>
      <c r="C94" s="706"/>
      <c r="D94" s="707"/>
      <c r="E94" s="156">
        <v>3</v>
      </c>
      <c r="F94" s="127">
        <f t="shared" si="0"/>
        <v>0</v>
      </c>
      <c r="G94" s="127">
        <f t="shared" si="0"/>
        <v>0</v>
      </c>
      <c r="H94" s="127">
        <f t="shared" si="0"/>
        <v>0</v>
      </c>
      <c r="I94" s="323">
        <f t="shared" si="0"/>
        <v>0</v>
      </c>
      <c r="J94" s="6"/>
    </row>
    <row r="95" spans="1:10" hidden="1" x14ac:dyDescent="0.25">
      <c r="A95" s="705"/>
      <c r="B95" s="706"/>
      <c r="C95" s="706"/>
      <c r="D95" s="707"/>
      <c r="E95" s="156">
        <v>4</v>
      </c>
      <c r="F95" s="127">
        <f t="shared" si="0"/>
        <v>0</v>
      </c>
      <c r="G95" s="127">
        <f t="shared" si="0"/>
        <v>0</v>
      </c>
      <c r="H95" s="127">
        <f t="shared" si="0"/>
        <v>0</v>
      </c>
      <c r="I95" s="323">
        <f t="shared" si="0"/>
        <v>0</v>
      </c>
      <c r="J95" s="6"/>
    </row>
    <row r="96" spans="1:10" ht="15.75" hidden="1" thickBot="1" x14ac:dyDescent="0.3">
      <c r="A96" s="753"/>
      <c r="B96" s="754"/>
      <c r="C96" s="754"/>
      <c r="D96" s="755"/>
      <c r="E96" s="157">
        <v>5</v>
      </c>
      <c r="F96" s="128">
        <f t="shared" si="0"/>
        <v>0</v>
      </c>
      <c r="G96" s="128">
        <f t="shared" si="0"/>
        <v>0</v>
      </c>
      <c r="H96" s="128">
        <f t="shared" si="0"/>
        <v>0</v>
      </c>
      <c r="I96" s="324">
        <f t="shared" si="0"/>
        <v>0</v>
      </c>
      <c r="J96" s="6"/>
    </row>
    <row r="97" spans="1:10" hidden="1" x14ac:dyDescent="0.25">
      <c r="A97" s="750" t="s">
        <v>11</v>
      </c>
      <c r="B97" s="751"/>
      <c r="C97" s="751"/>
      <c r="D97" s="752"/>
      <c r="E97" s="155">
        <v>0</v>
      </c>
      <c r="F97" s="126">
        <f t="shared" si="0"/>
        <v>0</v>
      </c>
      <c r="G97" s="126">
        <f t="shared" si="0"/>
        <v>0</v>
      </c>
      <c r="H97" s="126">
        <f t="shared" si="0"/>
        <v>0</v>
      </c>
      <c r="I97" s="322">
        <f t="shared" si="0"/>
        <v>0</v>
      </c>
      <c r="J97" s="6"/>
    </row>
    <row r="98" spans="1:10" hidden="1" x14ac:dyDescent="0.25">
      <c r="A98" s="705"/>
      <c r="B98" s="706"/>
      <c r="C98" s="706"/>
      <c r="D98" s="707"/>
      <c r="E98" s="156">
        <v>1</v>
      </c>
      <c r="F98" s="127">
        <f t="shared" si="0"/>
        <v>0</v>
      </c>
      <c r="G98" s="127">
        <f t="shared" si="0"/>
        <v>0</v>
      </c>
      <c r="H98" s="127">
        <f t="shared" si="0"/>
        <v>0</v>
      </c>
      <c r="I98" s="323">
        <f t="shared" si="0"/>
        <v>0</v>
      </c>
      <c r="J98" s="6"/>
    </row>
    <row r="99" spans="1:10" hidden="1" x14ac:dyDescent="0.25">
      <c r="A99" s="705"/>
      <c r="B99" s="706"/>
      <c r="C99" s="706"/>
      <c r="D99" s="707"/>
      <c r="E99" s="156">
        <v>2</v>
      </c>
      <c r="F99" s="127">
        <f t="shared" si="0"/>
        <v>0</v>
      </c>
      <c r="G99" s="127">
        <f t="shared" si="0"/>
        <v>0</v>
      </c>
      <c r="H99" s="127">
        <f t="shared" si="0"/>
        <v>0</v>
      </c>
      <c r="I99" s="323">
        <f t="shared" si="0"/>
        <v>0</v>
      </c>
      <c r="J99" s="6"/>
    </row>
    <row r="100" spans="1:10" hidden="1" x14ac:dyDescent="0.25">
      <c r="A100" s="705"/>
      <c r="B100" s="706"/>
      <c r="C100" s="706"/>
      <c r="D100" s="707"/>
      <c r="E100" s="156">
        <v>3</v>
      </c>
      <c r="F100" s="127">
        <f t="shared" si="0"/>
        <v>0</v>
      </c>
      <c r="G100" s="127">
        <f t="shared" si="0"/>
        <v>0</v>
      </c>
      <c r="H100" s="127">
        <f t="shared" si="0"/>
        <v>0</v>
      </c>
      <c r="I100" s="323">
        <f t="shared" si="0"/>
        <v>0</v>
      </c>
      <c r="J100" s="6"/>
    </row>
    <row r="101" spans="1:10" hidden="1" x14ac:dyDescent="0.25">
      <c r="A101" s="705"/>
      <c r="B101" s="706"/>
      <c r="C101" s="706"/>
      <c r="D101" s="707"/>
      <c r="E101" s="156">
        <v>4</v>
      </c>
      <c r="F101" s="127">
        <f t="shared" si="0"/>
        <v>0</v>
      </c>
      <c r="G101" s="127">
        <f t="shared" si="0"/>
        <v>0</v>
      </c>
      <c r="H101" s="127">
        <f t="shared" si="0"/>
        <v>0</v>
      </c>
      <c r="I101" s="323">
        <f t="shared" si="0"/>
        <v>0</v>
      </c>
      <c r="J101" s="6"/>
    </row>
    <row r="102" spans="1:10" ht="15.75" hidden="1" thickBot="1" x14ac:dyDescent="0.3">
      <c r="A102" s="705"/>
      <c r="B102" s="706"/>
      <c r="C102" s="706"/>
      <c r="D102" s="707"/>
      <c r="E102" s="325">
        <v>5</v>
      </c>
      <c r="F102" s="326">
        <f t="shared" si="0"/>
        <v>0</v>
      </c>
      <c r="G102" s="326">
        <f t="shared" si="0"/>
        <v>0</v>
      </c>
      <c r="H102" s="326">
        <f t="shared" si="0"/>
        <v>0</v>
      </c>
      <c r="I102" s="329">
        <f t="shared" si="0"/>
        <v>0</v>
      </c>
      <c r="J102" s="6"/>
    </row>
    <row r="103" spans="1:10" hidden="1" x14ac:dyDescent="0.25">
      <c r="A103" s="756" t="s">
        <v>12</v>
      </c>
      <c r="B103" s="757"/>
      <c r="C103" s="757"/>
      <c r="D103" s="757"/>
      <c r="E103" s="155">
        <v>0</v>
      </c>
      <c r="F103" s="126">
        <f t="shared" si="0"/>
        <v>0</v>
      </c>
      <c r="G103" s="126">
        <f t="shared" si="0"/>
        <v>0</v>
      </c>
      <c r="H103" s="126">
        <f t="shared" si="0"/>
        <v>0</v>
      </c>
      <c r="I103" s="322">
        <f t="shared" si="0"/>
        <v>0</v>
      </c>
      <c r="J103" s="6"/>
    </row>
    <row r="104" spans="1:10" hidden="1" x14ac:dyDescent="0.25">
      <c r="A104" s="758"/>
      <c r="B104" s="715"/>
      <c r="C104" s="715"/>
      <c r="D104" s="715"/>
      <c r="E104" s="156">
        <v>1</v>
      </c>
      <c r="F104" s="127">
        <f t="shared" si="0"/>
        <v>0</v>
      </c>
      <c r="G104" s="127">
        <f t="shared" si="0"/>
        <v>0</v>
      </c>
      <c r="H104" s="127">
        <f t="shared" si="0"/>
        <v>0</v>
      </c>
      <c r="I104" s="323">
        <f t="shared" si="0"/>
        <v>0</v>
      </c>
      <c r="J104" s="6"/>
    </row>
    <row r="105" spans="1:10" hidden="1" x14ac:dyDescent="0.25">
      <c r="A105" s="758"/>
      <c r="B105" s="715"/>
      <c r="C105" s="715"/>
      <c r="D105" s="715"/>
      <c r="E105" s="156">
        <v>2</v>
      </c>
      <c r="F105" s="127">
        <f t="shared" si="0"/>
        <v>0</v>
      </c>
      <c r="G105" s="127">
        <f t="shared" si="0"/>
        <v>0</v>
      </c>
      <c r="H105" s="127">
        <f t="shared" si="0"/>
        <v>0</v>
      </c>
      <c r="I105" s="323">
        <f t="shared" si="0"/>
        <v>0</v>
      </c>
      <c r="J105" s="6"/>
    </row>
    <row r="106" spans="1:10" hidden="1" x14ac:dyDescent="0.25">
      <c r="A106" s="758"/>
      <c r="B106" s="715"/>
      <c r="C106" s="715"/>
      <c r="D106" s="715"/>
      <c r="E106" s="156">
        <v>3</v>
      </c>
      <c r="F106" s="127">
        <f t="shared" si="0"/>
        <v>0</v>
      </c>
      <c r="G106" s="127">
        <f t="shared" si="0"/>
        <v>0</v>
      </c>
      <c r="H106" s="127">
        <f t="shared" si="0"/>
        <v>0</v>
      </c>
      <c r="I106" s="323">
        <f t="shared" si="0"/>
        <v>0</v>
      </c>
      <c r="J106" s="6"/>
    </row>
    <row r="107" spans="1:10" hidden="1" x14ac:dyDescent="0.25">
      <c r="A107" s="758"/>
      <c r="B107" s="715"/>
      <c r="C107" s="715"/>
      <c r="D107" s="715"/>
      <c r="E107" s="156">
        <v>4</v>
      </c>
      <c r="F107" s="127">
        <f t="shared" si="0"/>
        <v>0</v>
      </c>
      <c r="G107" s="127">
        <f t="shared" si="0"/>
        <v>0</v>
      </c>
      <c r="H107" s="127">
        <f t="shared" si="0"/>
        <v>0</v>
      </c>
      <c r="I107" s="323">
        <f t="shared" si="0"/>
        <v>0</v>
      </c>
      <c r="J107" s="6"/>
    </row>
    <row r="108" spans="1:10" hidden="1" x14ac:dyDescent="0.25">
      <c r="A108" s="758"/>
      <c r="B108" s="715"/>
      <c r="C108" s="715"/>
      <c r="D108" s="715"/>
      <c r="E108" s="156">
        <v>5</v>
      </c>
      <c r="F108" s="127">
        <f t="shared" si="0"/>
        <v>0</v>
      </c>
      <c r="G108" s="127">
        <f t="shared" si="0"/>
        <v>0</v>
      </c>
      <c r="H108" s="127">
        <f t="shared" si="0"/>
        <v>0</v>
      </c>
      <c r="I108" s="323">
        <f t="shared" si="0"/>
        <v>0</v>
      </c>
      <c r="J108" s="6"/>
    </row>
    <row r="109" spans="1:10" hidden="1" x14ac:dyDescent="0.25">
      <c r="A109" s="758"/>
      <c r="B109" s="715"/>
      <c r="C109" s="715"/>
      <c r="D109" s="715"/>
      <c r="E109" s="156">
        <v>6</v>
      </c>
      <c r="F109" s="127">
        <f t="shared" si="0"/>
        <v>0</v>
      </c>
      <c r="G109" s="127">
        <f t="shared" si="0"/>
        <v>0</v>
      </c>
      <c r="H109" s="127">
        <f t="shared" si="0"/>
        <v>0</v>
      </c>
      <c r="I109" s="323">
        <f t="shared" si="0"/>
        <v>0</v>
      </c>
      <c r="J109" s="6"/>
    </row>
    <row r="110" spans="1:10" hidden="1" x14ac:dyDescent="0.25">
      <c r="A110" s="758"/>
      <c r="B110" s="715"/>
      <c r="C110" s="715"/>
      <c r="D110" s="715"/>
      <c r="E110" s="156">
        <v>7</v>
      </c>
      <c r="F110" s="127">
        <f t="shared" si="0"/>
        <v>0</v>
      </c>
      <c r="G110" s="127">
        <f t="shared" si="0"/>
        <v>0</v>
      </c>
      <c r="H110" s="127">
        <f t="shared" si="0"/>
        <v>0</v>
      </c>
      <c r="I110" s="323">
        <f t="shared" si="0"/>
        <v>0</v>
      </c>
      <c r="J110" s="6"/>
    </row>
    <row r="111" spans="1:10" ht="15.75" hidden="1" thickBot="1" x14ac:dyDescent="0.3">
      <c r="A111" s="759"/>
      <c r="B111" s="760"/>
      <c r="C111" s="760"/>
      <c r="D111" s="760"/>
      <c r="E111" s="157">
        <v>8</v>
      </c>
      <c r="F111" s="128">
        <f t="shared" si="0"/>
        <v>0</v>
      </c>
      <c r="G111" s="128">
        <f t="shared" si="0"/>
        <v>0</v>
      </c>
      <c r="H111" s="128">
        <f t="shared" si="0"/>
        <v>0</v>
      </c>
      <c r="I111" s="324">
        <f t="shared" si="0"/>
        <v>0</v>
      </c>
      <c r="J111" s="6"/>
    </row>
    <row r="112" spans="1:10" x14ac:dyDescent="0.25">
      <c r="A112" s="801" t="s">
        <v>13</v>
      </c>
      <c r="B112" s="802"/>
      <c r="C112" s="802"/>
      <c r="D112" s="802"/>
      <c r="E112" s="165">
        <v>0</v>
      </c>
      <c r="F112" s="327">
        <f t="shared" ref="F112:I130" si="1">F40*$J40</f>
        <v>0</v>
      </c>
      <c r="G112" s="327">
        <f t="shared" si="1"/>
        <v>0</v>
      </c>
      <c r="H112" s="327">
        <f t="shared" si="1"/>
        <v>0</v>
      </c>
      <c r="I112" s="328">
        <f t="shared" si="1"/>
        <v>0</v>
      </c>
      <c r="J112" s="6"/>
    </row>
    <row r="113" spans="1:10" x14ac:dyDescent="0.25">
      <c r="A113" s="758"/>
      <c r="B113" s="715"/>
      <c r="C113" s="715"/>
      <c r="D113" s="715"/>
      <c r="E113" s="156">
        <v>1</v>
      </c>
      <c r="F113" s="127">
        <f t="shared" si="1"/>
        <v>0</v>
      </c>
      <c r="G113" s="127">
        <f t="shared" si="1"/>
        <v>0</v>
      </c>
      <c r="H113" s="127">
        <f t="shared" si="1"/>
        <v>0</v>
      </c>
      <c r="I113" s="323">
        <f t="shared" si="1"/>
        <v>0</v>
      </c>
      <c r="J113" s="6"/>
    </row>
    <row r="114" spans="1:10" x14ac:dyDescent="0.25">
      <c r="A114" s="758"/>
      <c r="B114" s="715"/>
      <c r="C114" s="715"/>
      <c r="D114" s="715"/>
      <c r="E114" s="156">
        <v>2</v>
      </c>
      <c r="F114" s="127">
        <f t="shared" si="1"/>
        <v>0</v>
      </c>
      <c r="G114" s="127">
        <f t="shared" si="1"/>
        <v>0</v>
      </c>
      <c r="H114" s="127">
        <f t="shared" si="1"/>
        <v>0</v>
      </c>
      <c r="I114" s="323">
        <f t="shared" si="1"/>
        <v>0</v>
      </c>
      <c r="J114" s="6"/>
    </row>
    <row r="115" spans="1:10" x14ac:dyDescent="0.25">
      <c r="A115" s="758"/>
      <c r="B115" s="715"/>
      <c r="C115" s="715"/>
      <c r="D115" s="715"/>
      <c r="E115" s="156">
        <v>3</v>
      </c>
      <c r="F115" s="127">
        <f t="shared" si="1"/>
        <v>0</v>
      </c>
      <c r="G115" s="127">
        <f t="shared" si="1"/>
        <v>0</v>
      </c>
      <c r="H115" s="127">
        <f t="shared" si="1"/>
        <v>0</v>
      </c>
      <c r="I115" s="323">
        <f t="shared" si="1"/>
        <v>0</v>
      </c>
      <c r="J115" s="6"/>
    </row>
    <row r="116" spans="1:10" x14ac:dyDescent="0.25">
      <c r="A116" s="758"/>
      <c r="B116" s="715"/>
      <c r="C116" s="715"/>
      <c r="D116" s="715"/>
      <c r="E116" s="156">
        <v>4</v>
      </c>
      <c r="F116" s="127">
        <f t="shared" si="1"/>
        <v>0</v>
      </c>
      <c r="G116" s="127">
        <f t="shared" si="1"/>
        <v>0</v>
      </c>
      <c r="H116" s="127">
        <f t="shared" si="1"/>
        <v>0</v>
      </c>
      <c r="I116" s="323">
        <f t="shared" si="1"/>
        <v>0</v>
      </c>
      <c r="J116" s="6"/>
    </row>
    <row r="117" spans="1:10" x14ac:dyDescent="0.25">
      <c r="A117" s="758"/>
      <c r="B117" s="715"/>
      <c r="C117" s="715"/>
      <c r="D117" s="715"/>
      <c r="E117" s="156">
        <v>5</v>
      </c>
      <c r="F117" s="127">
        <f t="shared" si="1"/>
        <v>0.5</v>
      </c>
      <c r="G117" s="127">
        <f t="shared" si="1"/>
        <v>0</v>
      </c>
      <c r="H117" s="127">
        <f t="shared" si="1"/>
        <v>0</v>
      </c>
      <c r="I117" s="323">
        <f t="shared" si="1"/>
        <v>0</v>
      </c>
      <c r="J117" s="6"/>
    </row>
    <row r="118" spans="1:10" x14ac:dyDescent="0.25">
      <c r="A118" s="758"/>
      <c r="B118" s="715"/>
      <c r="C118" s="715"/>
      <c r="D118" s="715"/>
      <c r="E118" s="156">
        <v>6</v>
      </c>
      <c r="F118" s="127">
        <f t="shared" si="1"/>
        <v>0</v>
      </c>
      <c r="G118" s="127">
        <f t="shared" si="1"/>
        <v>0</v>
      </c>
      <c r="H118" s="127">
        <f t="shared" si="1"/>
        <v>0.34999999999999987</v>
      </c>
      <c r="I118" s="323">
        <f t="shared" si="1"/>
        <v>0</v>
      </c>
      <c r="J118" s="6"/>
    </row>
    <row r="119" spans="1:10" x14ac:dyDescent="0.25">
      <c r="A119" s="758"/>
      <c r="B119" s="715"/>
      <c r="C119" s="715"/>
      <c r="D119" s="715"/>
      <c r="E119" s="156">
        <v>7</v>
      </c>
      <c r="F119" s="127">
        <f t="shared" si="1"/>
        <v>0</v>
      </c>
      <c r="G119" s="127">
        <f t="shared" si="1"/>
        <v>0</v>
      </c>
      <c r="H119" s="127">
        <f t="shared" si="1"/>
        <v>0</v>
      </c>
      <c r="I119" s="323">
        <f t="shared" si="1"/>
        <v>0</v>
      </c>
      <c r="J119" s="6"/>
    </row>
    <row r="120" spans="1:10" ht="15.75" thickBot="1" x14ac:dyDescent="0.3">
      <c r="A120" s="759"/>
      <c r="B120" s="760"/>
      <c r="C120" s="760"/>
      <c r="D120" s="760"/>
      <c r="E120" s="157">
        <v>8</v>
      </c>
      <c r="F120" s="128">
        <f t="shared" si="1"/>
        <v>1.1999999999999984</v>
      </c>
      <c r="G120" s="128">
        <f t="shared" si="1"/>
        <v>0</v>
      </c>
      <c r="H120" s="128">
        <f t="shared" si="1"/>
        <v>0</v>
      </c>
      <c r="I120" s="324">
        <f t="shared" si="1"/>
        <v>0</v>
      </c>
      <c r="J120" s="6"/>
    </row>
    <row r="121" spans="1:10" hidden="1" x14ac:dyDescent="0.25">
      <c r="A121" s="750" t="s">
        <v>14</v>
      </c>
      <c r="B121" s="751"/>
      <c r="C121" s="751"/>
      <c r="D121" s="752"/>
      <c r="E121" s="155">
        <v>0</v>
      </c>
      <c r="F121" s="126">
        <f t="shared" si="1"/>
        <v>0</v>
      </c>
      <c r="G121" s="126">
        <f t="shared" si="1"/>
        <v>0</v>
      </c>
      <c r="H121" s="126">
        <f t="shared" si="1"/>
        <v>0</v>
      </c>
      <c r="I121" s="322">
        <f t="shared" si="1"/>
        <v>0</v>
      </c>
      <c r="J121" s="6"/>
    </row>
    <row r="122" spans="1:10" hidden="1" x14ac:dyDescent="0.25">
      <c r="A122" s="705"/>
      <c r="B122" s="706"/>
      <c r="C122" s="706"/>
      <c r="D122" s="707"/>
      <c r="E122" s="156">
        <v>1</v>
      </c>
      <c r="F122" s="127">
        <f t="shared" si="1"/>
        <v>0</v>
      </c>
      <c r="G122" s="127">
        <f t="shared" si="1"/>
        <v>0</v>
      </c>
      <c r="H122" s="127">
        <f t="shared" si="1"/>
        <v>0</v>
      </c>
      <c r="I122" s="323">
        <f t="shared" si="1"/>
        <v>0</v>
      </c>
      <c r="J122" s="6"/>
    </row>
    <row r="123" spans="1:10" hidden="1" x14ac:dyDescent="0.25">
      <c r="A123" s="705"/>
      <c r="B123" s="706"/>
      <c r="C123" s="706"/>
      <c r="D123" s="707"/>
      <c r="E123" s="156">
        <v>2</v>
      </c>
      <c r="F123" s="127">
        <f t="shared" si="1"/>
        <v>0</v>
      </c>
      <c r="G123" s="127">
        <f t="shared" si="1"/>
        <v>0</v>
      </c>
      <c r="H123" s="127">
        <f t="shared" si="1"/>
        <v>0</v>
      </c>
      <c r="I123" s="323">
        <f t="shared" si="1"/>
        <v>0</v>
      </c>
      <c r="J123" s="6"/>
    </row>
    <row r="124" spans="1:10" hidden="1" x14ac:dyDescent="0.25">
      <c r="A124" s="705"/>
      <c r="B124" s="706"/>
      <c r="C124" s="706"/>
      <c r="D124" s="707"/>
      <c r="E124" s="156">
        <v>3</v>
      </c>
      <c r="F124" s="127">
        <f t="shared" si="1"/>
        <v>0</v>
      </c>
      <c r="G124" s="127">
        <f t="shared" si="1"/>
        <v>0</v>
      </c>
      <c r="H124" s="127">
        <f t="shared" si="1"/>
        <v>0</v>
      </c>
      <c r="I124" s="323">
        <f t="shared" si="1"/>
        <v>0</v>
      </c>
      <c r="J124" s="6"/>
    </row>
    <row r="125" spans="1:10" hidden="1" x14ac:dyDescent="0.25">
      <c r="A125" s="705"/>
      <c r="B125" s="706"/>
      <c r="C125" s="706"/>
      <c r="D125" s="707"/>
      <c r="E125" s="156">
        <v>4</v>
      </c>
      <c r="F125" s="127">
        <f t="shared" si="1"/>
        <v>0</v>
      </c>
      <c r="G125" s="127">
        <f t="shared" si="1"/>
        <v>0</v>
      </c>
      <c r="H125" s="127">
        <f t="shared" si="1"/>
        <v>0</v>
      </c>
      <c r="I125" s="323">
        <f t="shared" si="1"/>
        <v>0</v>
      </c>
      <c r="J125" s="6"/>
    </row>
    <row r="126" spans="1:10" hidden="1" x14ac:dyDescent="0.25">
      <c r="A126" s="705"/>
      <c r="B126" s="706"/>
      <c r="C126" s="706"/>
      <c r="D126" s="707"/>
      <c r="E126" s="156">
        <v>5</v>
      </c>
      <c r="F126" s="127">
        <f t="shared" si="1"/>
        <v>0</v>
      </c>
      <c r="G126" s="127">
        <f t="shared" si="1"/>
        <v>0</v>
      </c>
      <c r="H126" s="127">
        <f t="shared" si="1"/>
        <v>0</v>
      </c>
      <c r="I126" s="323">
        <f t="shared" si="1"/>
        <v>0</v>
      </c>
      <c r="J126" s="6"/>
    </row>
    <row r="127" spans="1:10" hidden="1" x14ac:dyDescent="0.25">
      <c r="A127" s="705"/>
      <c r="B127" s="706"/>
      <c r="C127" s="706"/>
      <c r="D127" s="707"/>
      <c r="E127" s="156">
        <v>6</v>
      </c>
      <c r="F127" s="127">
        <f t="shared" si="1"/>
        <v>0</v>
      </c>
      <c r="G127" s="127">
        <f t="shared" si="1"/>
        <v>0</v>
      </c>
      <c r="H127" s="127">
        <f t="shared" si="1"/>
        <v>0</v>
      </c>
      <c r="I127" s="323">
        <f t="shared" si="1"/>
        <v>0</v>
      </c>
      <c r="J127" s="6"/>
    </row>
    <row r="128" spans="1:10" hidden="1" x14ac:dyDescent="0.25">
      <c r="A128" s="705"/>
      <c r="B128" s="706"/>
      <c r="C128" s="706"/>
      <c r="D128" s="707"/>
      <c r="E128" s="156">
        <v>7</v>
      </c>
      <c r="F128" s="127">
        <f t="shared" si="1"/>
        <v>0</v>
      </c>
      <c r="G128" s="127">
        <f t="shared" si="1"/>
        <v>0</v>
      </c>
      <c r="H128" s="127">
        <f t="shared" si="1"/>
        <v>0</v>
      </c>
      <c r="I128" s="323">
        <f t="shared" si="1"/>
        <v>0</v>
      </c>
      <c r="J128" s="6"/>
    </row>
    <row r="129" spans="1:10" hidden="1" x14ac:dyDescent="0.25">
      <c r="A129" s="705"/>
      <c r="B129" s="706"/>
      <c r="C129" s="706"/>
      <c r="D129" s="707"/>
      <c r="E129" s="156">
        <v>8</v>
      </c>
      <c r="F129" s="127">
        <f t="shared" si="1"/>
        <v>0</v>
      </c>
      <c r="G129" s="127">
        <f t="shared" si="1"/>
        <v>0</v>
      </c>
      <c r="H129" s="127">
        <f t="shared" si="1"/>
        <v>0</v>
      </c>
      <c r="I129" s="323">
        <f t="shared" si="1"/>
        <v>0</v>
      </c>
      <c r="J129" s="6"/>
    </row>
    <row r="130" spans="1:10" hidden="1" x14ac:dyDescent="0.25">
      <c r="A130" s="705"/>
      <c r="B130" s="706"/>
      <c r="C130" s="706"/>
      <c r="D130" s="707"/>
      <c r="E130" s="156">
        <v>9</v>
      </c>
      <c r="F130" s="127">
        <f t="shared" si="1"/>
        <v>0</v>
      </c>
      <c r="G130" s="127">
        <f t="shared" si="1"/>
        <v>0</v>
      </c>
      <c r="H130" s="127">
        <f t="shared" si="1"/>
        <v>0</v>
      </c>
      <c r="I130" s="323">
        <f t="shared" si="1"/>
        <v>0</v>
      </c>
      <c r="J130" s="6"/>
    </row>
    <row r="131" spans="1:10" ht="15.75" hidden="1" thickBot="1" x14ac:dyDescent="0.3">
      <c r="A131" s="753"/>
      <c r="B131" s="754"/>
      <c r="C131" s="754"/>
      <c r="D131" s="755"/>
      <c r="E131" s="157">
        <v>10</v>
      </c>
      <c r="F131" s="128">
        <f t="shared" ref="F131:I150" si="2">F59*$J59</f>
        <v>0</v>
      </c>
      <c r="G131" s="128">
        <f t="shared" si="2"/>
        <v>0</v>
      </c>
      <c r="H131" s="128">
        <f t="shared" si="2"/>
        <v>0</v>
      </c>
      <c r="I131" s="324">
        <f t="shared" si="2"/>
        <v>0</v>
      </c>
      <c r="J131" s="6"/>
    </row>
    <row r="132" spans="1:10" hidden="1" x14ac:dyDescent="0.25">
      <c r="A132" s="756" t="s">
        <v>15</v>
      </c>
      <c r="B132" s="757"/>
      <c r="C132" s="757"/>
      <c r="D132" s="757"/>
      <c r="E132" s="155">
        <v>0</v>
      </c>
      <c r="F132" s="126">
        <f t="shared" si="2"/>
        <v>0</v>
      </c>
      <c r="G132" s="126">
        <f t="shared" si="2"/>
        <v>0</v>
      </c>
      <c r="H132" s="126">
        <f t="shared" si="2"/>
        <v>0</v>
      </c>
      <c r="I132" s="322">
        <f t="shared" si="2"/>
        <v>0</v>
      </c>
      <c r="J132" s="6"/>
    </row>
    <row r="133" spans="1:10" hidden="1" x14ac:dyDescent="0.25">
      <c r="A133" s="758"/>
      <c r="B133" s="715"/>
      <c r="C133" s="715"/>
      <c r="D133" s="715"/>
      <c r="E133" s="156">
        <v>1</v>
      </c>
      <c r="F133" s="127">
        <f t="shared" si="2"/>
        <v>0</v>
      </c>
      <c r="G133" s="127">
        <f t="shared" si="2"/>
        <v>0</v>
      </c>
      <c r="H133" s="127">
        <f t="shared" si="2"/>
        <v>0</v>
      </c>
      <c r="I133" s="323">
        <f t="shared" si="2"/>
        <v>0</v>
      </c>
      <c r="J133" s="6"/>
    </row>
    <row r="134" spans="1:10" hidden="1" x14ac:dyDescent="0.25">
      <c r="A134" s="758"/>
      <c r="B134" s="715"/>
      <c r="C134" s="715"/>
      <c r="D134" s="715"/>
      <c r="E134" s="156">
        <v>2</v>
      </c>
      <c r="F134" s="127">
        <f t="shared" si="2"/>
        <v>0</v>
      </c>
      <c r="G134" s="127">
        <f t="shared" si="2"/>
        <v>0</v>
      </c>
      <c r="H134" s="127">
        <f t="shared" si="2"/>
        <v>0</v>
      </c>
      <c r="I134" s="323">
        <f t="shared" si="2"/>
        <v>0</v>
      </c>
      <c r="J134" s="6"/>
    </row>
    <row r="135" spans="1:10" hidden="1" x14ac:dyDescent="0.25">
      <c r="A135" s="758"/>
      <c r="B135" s="715"/>
      <c r="C135" s="715"/>
      <c r="D135" s="715"/>
      <c r="E135" s="156">
        <v>3</v>
      </c>
      <c r="F135" s="127">
        <f t="shared" si="2"/>
        <v>0</v>
      </c>
      <c r="G135" s="127">
        <f t="shared" si="2"/>
        <v>0</v>
      </c>
      <c r="H135" s="127">
        <f t="shared" si="2"/>
        <v>0</v>
      </c>
      <c r="I135" s="323">
        <f t="shared" si="2"/>
        <v>0</v>
      </c>
      <c r="J135" s="6"/>
    </row>
    <row r="136" spans="1:10" hidden="1" x14ac:dyDescent="0.25">
      <c r="A136" s="758"/>
      <c r="B136" s="715"/>
      <c r="C136" s="715"/>
      <c r="D136" s="715"/>
      <c r="E136" s="156">
        <v>4</v>
      </c>
      <c r="F136" s="127">
        <f t="shared" si="2"/>
        <v>0</v>
      </c>
      <c r="G136" s="127">
        <f t="shared" si="2"/>
        <v>0</v>
      </c>
      <c r="H136" s="127">
        <f t="shared" si="2"/>
        <v>0</v>
      </c>
      <c r="I136" s="323">
        <f t="shared" si="2"/>
        <v>0</v>
      </c>
      <c r="J136" s="6"/>
    </row>
    <row r="137" spans="1:10" hidden="1" x14ac:dyDescent="0.25">
      <c r="A137" s="758"/>
      <c r="B137" s="715"/>
      <c r="C137" s="715"/>
      <c r="D137" s="715"/>
      <c r="E137" s="156">
        <v>5</v>
      </c>
      <c r="F137" s="127">
        <f t="shared" si="2"/>
        <v>0</v>
      </c>
      <c r="G137" s="127">
        <f t="shared" si="2"/>
        <v>0</v>
      </c>
      <c r="H137" s="127">
        <f t="shared" si="2"/>
        <v>0</v>
      </c>
      <c r="I137" s="323">
        <f t="shared" si="2"/>
        <v>0</v>
      </c>
      <c r="J137" s="6"/>
    </row>
    <row r="138" spans="1:10" hidden="1" x14ac:dyDescent="0.25">
      <c r="A138" s="758"/>
      <c r="B138" s="715"/>
      <c r="C138" s="715"/>
      <c r="D138" s="715"/>
      <c r="E138" s="156">
        <v>6</v>
      </c>
      <c r="F138" s="127">
        <f t="shared" si="2"/>
        <v>0</v>
      </c>
      <c r="G138" s="127">
        <f t="shared" si="2"/>
        <v>0</v>
      </c>
      <c r="H138" s="127">
        <f t="shared" si="2"/>
        <v>0</v>
      </c>
      <c r="I138" s="323">
        <f t="shared" si="2"/>
        <v>0</v>
      </c>
      <c r="J138" s="6"/>
    </row>
    <row r="139" spans="1:10" hidden="1" x14ac:dyDescent="0.25">
      <c r="A139" s="758"/>
      <c r="B139" s="715"/>
      <c r="C139" s="715"/>
      <c r="D139" s="715"/>
      <c r="E139" s="156">
        <v>7</v>
      </c>
      <c r="F139" s="127">
        <f t="shared" si="2"/>
        <v>0</v>
      </c>
      <c r="G139" s="127">
        <f t="shared" si="2"/>
        <v>0</v>
      </c>
      <c r="H139" s="127">
        <f t="shared" si="2"/>
        <v>0</v>
      </c>
      <c r="I139" s="323">
        <f t="shared" si="2"/>
        <v>0</v>
      </c>
      <c r="J139" s="6"/>
    </row>
    <row r="140" spans="1:10" hidden="1" x14ac:dyDescent="0.25">
      <c r="A140" s="758"/>
      <c r="B140" s="715"/>
      <c r="C140" s="715"/>
      <c r="D140" s="715"/>
      <c r="E140" s="156">
        <v>8</v>
      </c>
      <c r="F140" s="127">
        <f t="shared" si="2"/>
        <v>0</v>
      </c>
      <c r="G140" s="127">
        <f t="shared" si="2"/>
        <v>0</v>
      </c>
      <c r="H140" s="127">
        <f t="shared" si="2"/>
        <v>0</v>
      </c>
      <c r="I140" s="323">
        <f t="shared" si="2"/>
        <v>0</v>
      </c>
      <c r="J140" s="6"/>
    </row>
    <row r="141" spans="1:10" hidden="1" x14ac:dyDescent="0.25">
      <c r="A141" s="758"/>
      <c r="B141" s="715"/>
      <c r="C141" s="715"/>
      <c r="D141" s="715"/>
      <c r="E141" s="156">
        <v>9</v>
      </c>
      <c r="F141" s="127">
        <f t="shared" si="2"/>
        <v>0</v>
      </c>
      <c r="G141" s="127">
        <f t="shared" si="2"/>
        <v>0</v>
      </c>
      <c r="H141" s="127">
        <f t="shared" si="2"/>
        <v>0</v>
      </c>
      <c r="I141" s="323">
        <f t="shared" si="2"/>
        <v>0</v>
      </c>
      <c r="J141" s="6"/>
    </row>
    <row r="142" spans="1:10" hidden="1" x14ac:dyDescent="0.25">
      <c r="A142" s="758"/>
      <c r="B142" s="715"/>
      <c r="C142" s="715"/>
      <c r="D142" s="715"/>
      <c r="E142" s="156">
        <v>10</v>
      </c>
      <c r="F142" s="127">
        <f t="shared" si="2"/>
        <v>0</v>
      </c>
      <c r="G142" s="127">
        <f t="shared" si="2"/>
        <v>0</v>
      </c>
      <c r="H142" s="127">
        <f t="shared" si="2"/>
        <v>0</v>
      </c>
      <c r="I142" s="323">
        <f t="shared" si="2"/>
        <v>0</v>
      </c>
      <c r="J142" s="6"/>
    </row>
    <row r="143" spans="1:10" hidden="1" x14ac:dyDescent="0.25">
      <c r="A143" s="758"/>
      <c r="B143" s="715"/>
      <c r="C143" s="715"/>
      <c r="D143" s="715"/>
      <c r="E143" s="156">
        <v>11</v>
      </c>
      <c r="F143" s="127">
        <f t="shared" si="2"/>
        <v>0</v>
      </c>
      <c r="G143" s="127">
        <f t="shared" si="2"/>
        <v>0</v>
      </c>
      <c r="H143" s="127">
        <f t="shared" si="2"/>
        <v>0</v>
      </c>
      <c r="I143" s="323">
        <f t="shared" si="2"/>
        <v>0</v>
      </c>
      <c r="J143" s="6"/>
    </row>
    <row r="144" spans="1:10" ht="15.75" hidden="1" thickBot="1" x14ac:dyDescent="0.3">
      <c r="A144" s="759"/>
      <c r="B144" s="760"/>
      <c r="C144" s="760"/>
      <c r="D144" s="760"/>
      <c r="E144" s="157">
        <v>12</v>
      </c>
      <c r="F144" s="128">
        <f t="shared" si="2"/>
        <v>0</v>
      </c>
      <c r="G144" s="128">
        <f t="shared" si="2"/>
        <v>0</v>
      </c>
      <c r="H144" s="128">
        <f t="shared" si="2"/>
        <v>0</v>
      </c>
      <c r="I144" s="324">
        <f t="shared" si="2"/>
        <v>0</v>
      </c>
      <c r="J144" s="6"/>
    </row>
    <row r="145" spans="1:10" hidden="1" x14ac:dyDescent="0.25">
      <c r="A145" s="705" t="s">
        <v>16</v>
      </c>
      <c r="B145" s="706"/>
      <c r="C145" s="706"/>
      <c r="D145" s="706"/>
      <c r="E145" s="165">
        <v>0</v>
      </c>
      <c r="F145" s="327">
        <f t="shared" si="2"/>
        <v>0</v>
      </c>
      <c r="G145" s="327">
        <f t="shared" si="2"/>
        <v>0</v>
      </c>
      <c r="H145" s="327">
        <f t="shared" si="2"/>
        <v>0</v>
      </c>
      <c r="I145" s="328">
        <f t="shared" si="2"/>
        <v>0</v>
      </c>
      <c r="J145" s="6"/>
    </row>
    <row r="146" spans="1:10" hidden="1" x14ac:dyDescent="0.25">
      <c r="A146" s="705"/>
      <c r="B146" s="706"/>
      <c r="C146" s="706"/>
      <c r="D146" s="706"/>
      <c r="E146" s="156">
        <v>1</v>
      </c>
      <c r="F146" s="127">
        <f t="shared" si="2"/>
        <v>0</v>
      </c>
      <c r="G146" s="127">
        <f t="shared" si="2"/>
        <v>0</v>
      </c>
      <c r="H146" s="127">
        <f t="shared" si="2"/>
        <v>0</v>
      </c>
      <c r="I146" s="323">
        <f t="shared" si="2"/>
        <v>0</v>
      </c>
      <c r="J146" s="6"/>
    </row>
    <row r="147" spans="1:10" hidden="1" x14ac:dyDescent="0.25">
      <c r="A147" s="705"/>
      <c r="B147" s="706"/>
      <c r="C147" s="706"/>
      <c r="D147" s="706"/>
      <c r="E147" s="156">
        <v>2</v>
      </c>
      <c r="F147" s="127">
        <f t="shared" si="2"/>
        <v>0</v>
      </c>
      <c r="G147" s="127">
        <f t="shared" si="2"/>
        <v>0</v>
      </c>
      <c r="H147" s="127">
        <f t="shared" si="2"/>
        <v>0</v>
      </c>
      <c r="I147" s="323">
        <f t="shared" si="2"/>
        <v>0</v>
      </c>
      <c r="J147" s="6"/>
    </row>
    <row r="148" spans="1:10" hidden="1" x14ac:dyDescent="0.25">
      <c r="A148" s="705"/>
      <c r="B148" s="706"/>
      <c r="C148" s="706"/>
      <c r="D148" s="706"/>
      <c r="E148" s="156">
        <v>3</v>
      </c>
      <c r="F148" s="127">
        <f t="shared" si="2"/>
        <v>0</v>
      </c>
      <c r="G148" s="127">
        <f t="shared" si="2"/>
        <v>0</v>
      </c>
      <c r="H148" s="127">
        <f t="shared" si="2"/>
        <v>0</v>
      </c>
      <c r="I148" s="323">
        <f t="shared" si="2"/>
        <v>0</v>
      </c>
      <c r="J148" s="6"/>
    </row>
    <row r="149" spans="1:10" hidden="1" x14ac:dyDescent="0.25">
      <c r="A149" s="705"/>
      <c r="B149" s="706"/>
      <c r="C149" s="706"/>
      <c r="D149" s="706"/>
      <c r="E149" s="156">
        <v>4</v>
      </c>
      <c r="F149" s="127">
        <f t="shared" si="2"/>
        <v>0</v>
      </c>
      <c r="G149" s="127">
        <f t="shared" si="2"/>
        <v>0</v>
      </c>
      <c r="H149" s="127">
        <f t="shared" si="2"/>
        <v>0</v>
      </c>
      <c r="I149" s="323">
        <f t="shared" si="2"/>
        <v>0</v>
      </c>
      <c r="J149" s="6"/>
    </row>
    <row r="150" spans="1:10" hidden="1" x14ac:dyDescent="0.25">
      <c r="A150" s="705"/>
      <c r="B150" s="706"/>
      <c r="C150" s="706"/>
      <c r="D150" s="706"/>
      <c r="E150" s="156">
        <v>5</v>
      </c>
      <c r="F150" s="127">
        <f t="shared" si="2"/>
        <v>0</v>
      </c>
      <c r="G150" s="127">
        <f t="shared" si="2"/>
        <v>0</v>
      </c>
      <c r="H150" s="127">
        <f t="shared" si="2"/>
        <v>0</v>
      </c>
      <c r="I150" s="323">
        <f t="shared" si="2"/>
        <v>0</v>
      </c>
      <c r="J150" s="6"/>
    </row>
    <row r="151" spans="1:10" hidden="1" x14ac:dyDescent="0.25">
      <c r="A151" s="705"/>
      <c r="B151" s="706"/>
      <c r="C151" s="706"/>
      <c r="D151" s="706"/>
      <c r="E151" s="156">
        <v>6</v>
      </c>
      <c r="F151" s="127">
        <f t="shared" ref="F151:I157" si="3">F79*$J79</f>
        <v>0</v>
      </c>
      <c r="G151" s="127">
        <f t="shared" si="3"/>
        <v>0</v>
      </c>
      <c r="H151" s="127">
        <f t="shared" si="3"/>
        <v>0</v>
      </c>
      <c r="I151" s="323">
        <f t="shared" si="3"/>
        <v>0</v>
      </c>
      <c r="J151" s="6"/>
    </row>
    <row r="152" spans="1:10" hidden="1" x14ac:dyDescent="0.25">
      <c r="A152" s="705"/>
      <c r="B152" s="706"/>
      <c r="C152" s="706"/>
      <c r="D152" s="706"/>
      <c r="E152" s="156">
        <v>7</v>
      </c>
      <c r="F152" s="127">
        <f t="shared" si="3"/>
        <v>0</v>
      </c>
      <c r="G152" s="127">
        <f t="shared" si="3"/>
        <v>0</v>
      </c>
      <c r="H152" s="127">
        <f t="shared" si="3"/>
        <v>0</v>
      </c>
      <c r="I152" s="323">
        <f t="shared" si="3"/>
        <v>0</v>
      </c>
      <c r="J152" s="6"/>
    </row>
    <row r="153" spans="1:10" hidden="1" x14ac:dyDescent="0.25">
      <c r="A153" s="705"/>
      <c r="B153" s="706"/>
      <c r="C153" s="706"/>
      <c r="D153" s="706"/>
      <c r="E153" s="156">
        <v>8</v>
      </c>
      <c r="F153" s="127">
        <f t="shared" si="3"/>
        <v>0</v>
      </c>
      <c r="G153" s="127">
        <f t="shared" si="3"/>
        <v>0</v>
      </c>
      <c r="H153" s="127">
        <f t="shared" si="3"/>
        <v>0</v>
      </c>
      <c r="I153" s="323">
        <f t="shared" si="3"/>
        <v>0</v>
      </c>
      <c r="J153" s="6"/>
    </row>
    <row r="154" spans="1:10" hidden="1" x14ac:dyDescent="0.25">
      <c r="A154" s="705"/>
      <c r="B154" s="706"/>
      <c r="C154" s="706"/>
      <c r="D154" s="706"/>
      <c r="E154" s="156">
        <v>9</v>
      </c>
      <c r="F154" s="127">
        <f t="shared" si="3"/>
        <v>0</v>
      </c>
      <c r="G154" s="127">
        <f t="shared" si="3"/>
        <v>0</v>
      </c>
      <c r="H154" s="127">
        <f t="shared" si="3"/>
        <v>0</v>
      </c>
      <c r="I154" s="323">
        <f t="shared" si="3"/>
        <v>0</v>
      </c>
      <c r="J154" s="6"/>
    </row>
    <row r="155" spans="1:10" hidden="1" x14ac:dyDescent="0.25">
      <c r="A155" s="705"/>
      <c r="B155" s="706"/>
      <c r="C155" s="706"/>
      <c r="D155" s="706"/>
      <c r="E155" s="156">
        <v>10</v>
      </c>
      <c r="F155" s="127">
        <f t="shared" si="3"/>
        <v>0</v>
      </c>
      <c r="G155" s="127">
        <f t="shared" si="3"/>
        <v>0</v>
      </c>
      <c r="H155" s="127">
        <f t="shared" si="3"/>
        <v>0</v>
      </c>
      <c r="I155" s="323">
        <f t="shared" si="3"/>
        <v>0</v>
      </c>
      <c r="J155" s="6"/>
    </row>
    <row r="156" spans="1:10" hidden="1" x14ac:dyDescent="0.25">
      <c r="A156" s="705"/>
      <c r="B156" s="706"/>
      <c r="C156" s="706"/>
      <c r="D156" s="706"/>
      <c r="E156" s="156">
        <v>11</v>
      </c>
      <c r="F156" s="127">
        <f t="shared" si="3"/>
        <v>0</v>
      </c>
      <c r="G156" s="127">
        <f t="shared" si="3"/>
        <v>0</v>
      </c>
      <c r="H156" s="127">
        <f t="shared" si="3"/>
        <v>0</v>
      </c>
      <c r="I156" s="323">
        <f t="shared" si="3"/>
        <v>0</v>
      </c>
      <c r="J156" s="6"/>
    </row>
    <row r="157" spans="1:10" ht="15.75" hidden="1" thickBot="1" x14ac:dyDescent="0.3">
      <c r="A157" s="753"/>
      <c r="B157" s="754"/>
      <c r="C157" s="754"/>
      <c r="D157" s="754"/>
      <c r="E157" s="157">
        <v>12</v>
      </c>
      <c r="F157" s="128">
        <f t="shared" si="3"/>
        <v>0</v>
      </c>
      <c r="G157" s="128">
        <f t="shared" si="3"/>
        <v>0</v>
      </c>
      <c r="H157" s="128">
        <f t="shared" si="3"/>
        <v>0</v>
      </c>
      <c r="I157" s="324">
        <f t="shared" si="3"/>
        <v>0</v>
      </c>
      <c r="J157" s="6"/>
    </row>
    <row r="159" spans="1:10" x14ac:dyDescent="0.25">
      <c r="A159" s="22" t="s">
        <v>704</v>
      </c>
      <c r="B159" s="27" t="s">
        <v>145</v>
      </c>
    </row>
    <row r="160" spans="1:10" x14ac:dyDescent="0.25">
      <c r="A160" s="591" t="s">
        <v>7</v>
      </c>
      <c r="B160" s="591"/>
      <c r="C160" s="591"/>
      <c r="D160" s="591"/>
      <c r="E160" s="749" t="s">
        <v>119</v>
      </c>
      <c r="F160" s="785" t="s">
        <v>5</v>
      </c>
      <c r="G160" s="786"/>
      <c r="H160" s="785" t="s">
        <v>6</v>
      </c>
      <c r="I160" s="786"/>
    </row>
    <row r="161" spans="1:9" x14ac:dyDescent="0.25">
      <c r="A161" s="591"/>
      <c r="B161" s="591"/>
      <c r="C161" s="591"/>
      <c r="D161" s="591"/>
      <c r="E161" s="717"/>
      <c r="F161" s="121" t="s">
        <v>8</v>
      </c>
      <c r="G161" s="121" t="s">
        <v>9</v>
      </c>
      <c r="H161" s="121" t="s">
        <v>8</v>
      </c>
      <c r="I161" s="121" t="s">
        <v>9</v>
      </c>
    </row>
    <row r="162" spans="1:9" hidden="1" x14ac:dyDescent="0.25">
      <c r="A162" s="750" t="s">
        <v>127</v>
      </c>
      <c r="B162" s="751"/>
      <c r="C162" s="751"/>
      <c r="D162" s="752"/>
      <c r="E162" s="158">
        <v>0</v>
      </c>
      <c r="F162" s="789">
        <f>SUM(F91:F96)*'2.1.b Veículos'!D6</f>
        <v>0</v>
      </c>
      <c r="G162" s="792">
        <f>SUM(G91:G96)*'2.1.b Veículos'!E6</f>
        <v>0</v>
      </c>
      <c r="H162" s="792">
        <f>SUM(H91:H96)*'2.1.b Veículos'!F6</f>
        <v>0</v>
      </c>
      <c r="I162" s="787">
        <f>SUM(I91:I96)*'2.1.b Veículos'!G6</f>
        <v>0</v>
      </c>
    </row>
    <row r="163" spans="1:9" hidden="1" x14ac:dyDescent="0.25">
      <c r="A163" s="705"/>
      <c r="B163" s="706"/>
      <c r="C163" s="706"/>
      <c r="D163" s="707"/>
      <c r="E163" s="159">
        <v>1</v>
      </c>
      <c r="F163" s="790"/>
      <c r="G163" s="793"/>
      <c r="H163" s="793"/>
      <c r="I163" s="784"/>
    </row>
    <row r="164" spans="1:9" hidden="1" x14ac:dyDescent="0.25">
      <c r="A164" s="705"/>
      <c r="B164" s="706"/>
      <c r="C164" s="706"/>
      <c r="D164" s="707"/>
      <c r="E164" s="159">
        <v>2</v>
      </c>
      <c r="F164" s="790"/>
      <c r="G164" s="793"/>
      <c r="H164" s="793"/>
      <c r="I164" s="784"/>
    </row>
    <row r="165" spans="1:9" hidden="1" x14ac:dyDescent="0.25">
      <c r="A165" s="705"/>
      <c r="B165" s="706"/>
      <c r="C165" s="706"/>
      <c r="D165" s="707"/>
      <c r="E165" s="159">
        <v>3</v>
      </c>
      <c r="F165" s="790"/>
      <c r="G165" s="793"/>
      <c r="H165" s="793"/>
      <c r="I165" s="784"/>
    </row>
    <row r="166" spans="1:9" hidden="1" x14ac:dyDescent="0.25">
      <c r="A166" s="705"/>
      <c r="B166" s="706"/>
      <c r="C166" s="706"/>
      <c r="D166" s="707"/>
      <c r="E166" s="159">
        <v>4</v>
      </c>
      <c r="F166" s="790"/>
      <c r="G166" s="793"/>
      <c r="H166" s="793"/>
      <c r="I166" s="784"/>
    </row>
    <row r="167" spans="1:9" ht="15.75" hidden="1" thickBot="1" x14ac:dyDescent="0.3">
      <c r="A167" s="753"/>
      <c r="B167" s="754"/>
      <c r="C167" s="754"/>
      <c r="D167" s="755"/>
      <c r="E167" s="160">
        <v>5</v>
      </c>
      <c r="F167" s="791"/>
      <c r="G167" s="794"/>
      <c r="H167" s="794"/>
      <c r="I167" s="788"/>
    </row>
    <row r="168" spans="1:9" hidden="1" x14ac:dyDescent="0.25">
      <c r="A168" s="750" t="s">
        <v>11</v>
      </c>
      <c r="B168" s="751"/>
      <c r="C168" s="751"/>
      <c r="D168" s="752"/>
      <c r="E168" s="158">
        <v>0</v>
      </c>
      <c r="F168" s="789">
        <f>SUM(F97:F102)*'2.1.b Veículos'!D7</f>
        <v>0</v>
      </c>
      <c r="G168" s="792">
        <f>SUM(G97:G102)*'2.1.b Veículos'!E7</f>
        <v>0</v>
      </c>
      <c r="H168" s="792">
        <f>SUM(H97:H102)*'2.1.b Veículos'!F7</f>
        <v>0</v>
      </c>
      <c r="I168" s="787">
        <f>SUM(I97:I102)*'2.1.b Veículos'!G7</f>
        <v>0</v>
      </c>
    </row>
    <row r="169" spans="1:9" hidden="1" x14ac:dyDescent="0.25">
      <c r="A169" s="705"/>
      <c r="B169" s="706"/>
      <c r="C169" s="706"/>
      <c r="D169" s="707"/>
      <c r="E169" s="159">
        <v>1</v>
      </c>
      <c r="F169" s="790"/>
      <c r="G169" s="793"/>
      <c r="H169" s="793"/>
      <c r="I169" s="784"/>
    </row>
    <row r="170" spans="1:9" hidden="1" x14ac:dyDescent="0.25">
      <c r="A170" s="705"/>
      <c r="B170" s="706"/>
      <c r="C170" s="706"/>
      <c r="D170" s="707"/>
      <c r="E170" s="159">
        <v>2</v>
      </c>
      <c r="F170" s="790"/>
      <c r="G170" s="793"/>
      <c r="H170" s="793"/>
      <c r="I170" s="784"/>
    </row>
    <row r="171" spans="1:9" hidden="1" x14ac:dyDescent="0.25">
      <c r="A171" s="705"/>
      <c r="B171" s="706"/>
      <c r="C171" s="706"/>
      <c r="D171" s="707"/>
      <c r="E171" s="159">
        <v>3</v>
      </c>
      <c r="F171" s="790"/>
      <c r="G171" s="793"/>
      <c r="H171" s="793"/>
      <c r="I171" s="784"/>
    </row>
    <row r="172" spans="1:9" hidden="1" x14ac:dyDescent="0.25">
      <c r="A172" s="705"/>
      <c r="B172" s="706"/>
      <c r="C172" s="706"/>
      <c r="D172" s="707"/>
      <c r="E172" s="159">
        <v>4</v>
      </c>
      <c r="F172" s="790"/>
      <c r="G172" s="793"/>
      <c r="H172" s="793"/>
      <c r="I172" s="784"/>
    </row>
    <row r="173" spans="1:9" ht="15.75" hidden="1" thickBot="1" x14ac:dyDescent="0.3">
      <c r="A173" s="705"/>
      <c r="B173" s="706"/>
      <c r="C173" s="706"/>
      <c r="D173" s="707"/>
      <c r="E173" s="330">
        <v>5</v>
      </c>
      <c r="F173" s="790"/>
      <c r="G173" s="793"/>
      <c r="H173" s="793"/>
      <c r="I173" s="784"/>
    </row>
    <row r="174" spans="1:9" hidden="1" x14ac:dyDescent="0.25">
      <c r="A174" s="750" t="s">
        <v>12</v>
      </c>
      <c r="B174" s="751"/>
      <c r="C174" s="751"/>
      <c r="D174" s="752"/>
      <c r="E174" s="155">
        <v>0</v>
      </c>
      <c r="F174" s="792">
        <f>SUM(F103:F111)*'2.1.b Veículos'!D8</f>
        <v>0</v>
      </c>
      <c r="G174" s="792">
        <f>SUM(G103:G111)*'2.1.b Veículos'!E8</f>
        <v>0</v>
      </c>
      <c r="H174" s="792">
        <f>SUM(H103:H111)*'2.1.b Veículos'!F8</f>
        <v>0</v>
      </c>
      <c r="I174" s="787">
        <f>SUM(I103:I111)*'2.1.b Veículos'!G8</f>
        <v>0</v>
      </c>
    </row>
    <row r="175" spans="1:9" hidden="1" x14ac:dyDescent="0.25">
      <c r="A175" s="705"/>
      <c r="B175" s="706"/>
      <c r="C175" s="706"/>
      <c r="D175" s="707"/>
      <c r="E175" s="156">
        <v>1</v>
      </c>
      <c r="F175" s="793"/>
      <c r="G175" s="793"/>
      <c r="H175" s="793"/>
      <c r="I175" s="784"/>
    </row>
    <row r="176" spans="1:9" hidden="1" x14ac:dyDescent="0.25">
      <c r="A176" s="705"/>
      <c r="B176" s="706"/>
      <c r="C176" s="706"/>
      <c r="D176" s="707"/>
      <c r="E176" s="156">
        <v>2</v>
      </c>
      <c r="F176" s="793"/>
      <c r="G176" s="793"/>
      <c r="H176" s="793"/>
      <c r="I176" s="784"/>
    </row>
    <row r="177" spans="1:9" hidden="1" x14ac:dyDescent="0.25">
      <c r="A177" s="705"/>
      <c r="B177" s="706"/>
      <c r="C177" s="706"/>
      <c r="D177" s="707"/>
      <c r="E177" s="156">
        <v>3</v>
      </c>
      <c r="F177" s="793"/>
      <c r="G177" s="793"/>
      <c r="H177" s="793"/>
      <c r="I177" s="784"/>
    </row>
    <row r="178" spans="1:9" hidden="1" x14ac:dyDescent="0.25">
      <c r="A178" s="705"/>
      <c r="B178" s="706"/>
      <c r="C178" s="706"/>
      <c r="D178" s="707"/>
      <c r="E178" s="156">
        <v>4</v>
      </c>
      <c r="F178" s="793"/>
      <c r="G178" s="793"/>
      <c r="H178" s="793"/>
      <c r="I178" s="784"/>
    </row>
    <row r="179" spans="1:9" hidden="1" x14ac:dyDescent="0.25">
      <c r="A179" s="705"/>
      <c r="B179" s="706"/>
      <c r="C179" s="706"/>
      <c r="D179" s="707"/>
      <c r="E179" s="156">
        <v>5</v>
      </c>
      <c r="F179" s="793"/>
      <c r="G179" s="793"/>
      <c r="H179" s="793"/>
      <c r="I179" s="784"/>
    </row>
    <row r="180" spans="1:9" hidden="1" x14ac:dyDescent="0.25">
      <c r="A180" s="705"/>
      <c r="B180" s="706"/>
      <c r="C180" s="706"/>
      <c r="D180" s="707"/>
      <c r="E180" s="156">
        <v>6</v>
      </c>
      <c r="F180" s="793"/>
      <c r="G180" s="793"/>
      <c r="H180" s="793"/>
      <c r="I180" s="784"/>
    </row>
    <row r="181" spans="1:9" hidden="1" x14ac:dyDescent="0.25">
      <c r="A181" s="705"/>
      <c r="B181" s="706"/>
      <c r="C181" s="706"/>
      <c r="D181" s="707"/>
      <c r="E181" s="156">
        <v>7</v>
      </c>
      <c r="F181" s="793"/>
      <c r="G181" s="793"/>
      <c r="H181" s="793"/>
      <c r="I181" s="784"/>
    </row>
    <row r="182" spans="1:9" ht="15.75" hidden="1" thickBot="1" x14ac:dyDescent="0.3">
      <c r="A182" s="753"/>
      <c r="B182" s="754"/>
      <c r="C182" s="754"/>
      <c r="D182" s="755"/>
      <c r="E182" s="157">
        <v>8</v>
      </c>
      <c r="F182" s="794"/>
      <c r="G182" s="794"/>
      <c r="H182" s="794"/>
      <c r="I182" s="788"/>
    </row>
    <row r="183" spans="1:9" x14ac:dyDescent="0.25">
      <c r="A183" s="801" t="s">
        <v>13</v>
      </c>
      <c r="B183" s="802"/>
      <c r="C183" s="802"/>
      <c r="D183" s="802"/>
      <c r="E183" s="165">
        <v>0</v>
      </c>
      <c r="F183" s="803">
        <f>SUM(F112:F120)*'2.1.b Veículos'!D9</f>
        <v>1096499.9999999991</v>
      </c>
      <c r="G183" s="803">
        <f>SUM(G112:G120)*'2.1.b Veículos'!E9</f>
        <v>0</v>
      </c>
      <c r="H183" s="803">
        <f>SUM(H112:H120)*'2.1.b Veículos'!F9</f>
        <v>261015.99999999991</v>
      </c>
      <c r="I183" s="795">
        <f>SUM(I112:I120)*'2.1.b Veículos'!G9</f>
        <v>0</v>
      </c>
    </row>
    <row r="184" spans="1:9" x14ac:dyDescent="0.25">
      <c r="A184" s="758"/>
      <c r="B184" s="715"/>
      <c r="C184" s="715"/>
      <c r="D184" s="715"/>
      <c r="E184" s="156">
        <v>1</v>
      </c>
      <c r="F184" s="804"/>
      <c r="G184" s="804"/>
      <c r="H184" s="804"/>
      <c r="I184" s="796"/>
    </row>
    <row r="185" spans="1:9" x14ac:dyDescent="0.25">
      <c r="A185" s="758"/>
      <c r="B185" s="715"/>
      <c r="C185" s="715"/>
      <c r="D185" s="715"/>
      <c r="E185" s="156">
        <v>2</v>
      </c>
      <c r="F185" s="804"/>
      <c r="G185" s="804"/>
      <c r="H185" s="804"/>
      <c r="I185" s="796"/>
    </row>
    <row r="186" spans="1:9" x14ac:dyDescent="0.25">
      <c r="A186" s="758"/>
      <c r="B186" s="715"/>
      <c r="C186" s="715"/>
      <c r="D186" s="715"/>
      <c r="E186" s="156">
        <v>3</v>
      </c>
      <c r="F186" s="804"/>
      <c r="G186" s="804"/>
      <c r="H186" s="804"/>
      <c r="I186" s="796"/>
    </row>
    <row r="187" spans="1:9" x14ac:dyDescent="0.25">
      <c r="A187" s="758"/>
      <c r="B187" s="715"/>
      <c r="C187" s="715"/>
      <c r="D187" s="715"/>
      <c r="E187" s="156">
        <v>4</v>
      </c>
      <c r="F187" s="804"/>
      <c r="G187" s="804"/>
      <c r="H187" s="804"/>
      <c r="I187" s="796"/>
    </row>
    <row r="188" spans="1:9" x14ac:dyDescent="0.25">
      <c r="A188" s="758"/>
      <c r="B188" s="715"/>
      <c r="C188" s="715"/>
      <c r="D188" s="715"/>
      <c r="E188" s="156">
        <v>5</v>
      </c>
      <c r="F188" s="804"/>
      <c r="G188" s="804"/>
      <c r="H188" s="804"/>
      <c r="I188" s="796"/>
    </row>
    <row r="189" spans="1:9" x14ac:dyDescent="0.25">
      <c r="A189" s="758"/>
      <c r="B189" s="715"/>
      <c r="C189" s="715"/>
      <c r="D189" s="715"/>
      <c r="E189" s="156">
        <v>6</v>
      </c>
      <c r="F189" s="804"/>
      <c r="G189" s="804"/>
      <c r="H189" s="804"/>
      <c r="I189" s="796"/>
    </row>
    <row r="190" spans="1:9" x14ac:dyDescent="0.25">
      <c r="A190" s="758"/>
      <c r="B190" s="715"/>
      <c r="C190" s="715"/>
      <c r="D190" s="715"/>
      <c r="E190" s="156">
        <v>7</v>
      </c>
      <c r="F190" s="804"/>
      <c r="G190" s="804"/>
      <c r="H190" s="804"/>
      <c r="I190" s="796"/>
    </row>
    <row r="191" spans="1:9" ht="15.75" thickBot="1" x14ac:dyDescent="0.3">
      <c r="A191" s="759"/>
      <c r="B191" s="760"/>
      <c r="C191" s="760"/>
      <c r="D191" s="760"/>
      <c r="E191" s="157">
        <v>8</v>
      </c>
      <c r="F191" s="805"/>
      <c r="G191" s="805"/>
      <c r="H191" s="805"/>
      <c r="I191" s="797"/>
    </row>
    <row r="192" spans="1:9" hidden="1" x14ac:dyDescent="0.25">
      <c r="A192" s="705" t="s">
        <v>14</v>
      </c>
      <c r="B192" s="706"/>
      <c r="C192" s="706"/>
      <c r="D192" s="707"/>
      <c r="E192" s="331">
        <v>0</v>
      </c>
      <c r="F192" s="806">
        <f>SUM(F121:F131)*'2.1.b Veículos'!D10</f>
        <v>0</v>
      </c>
      <c r="G192" s="793">
        <f>SUM(G121:G131)*'2.1.b Veículos'!E10</f>
        <v>0</v>
      </c>
      <c r="H192" s="793">
        <f>SUM(H121:H131)*'2.1.b Veículos'!F10</f>
        <v>0</v>
      </c>
      <c r="I192" s="784">
        <f>SUM(I121:I131)*'2.1.b Veículos'!G10</f>
        <v>0</v>
      </c>
    </row>
    <row r="193" spans="1:9" hidden="1" x14ac:dyDescent="0.25">
      <c r="A193" s="705"/>
      <c r="B193" s="706"/>
      <c r="C193" s="706"/>
      <c r="D193" s="707"/>
      <c r="E193" s="159">
        <v>1</v>
      </c>
      <c r="F193" s="807"/>
      <c r="G193" s="793"/>
      <c r="H193" s="793"/>
      <c r="I193" s="784"/>
    </row>
    <row r="194" spans="1:9" hidden="1" x14ac:dyDescent="0.25">
      <c r="A194" s="705"/>
      <c r="B194" s="706"/>
      <c r="C194" s="706"/>
      <c r="D194" s="707"/>
      <c r="E194" s="159">
        <v>2</v>
      </c>
      <c r="F194" s="807"/>
      <c r="G194" s="793"/>
      <c r="H194" s="793"/>
      <c r="I194" s="784"/>
    </row>
    <row r="195" spans="1:9" hidden="1" x14ac:dyDescent="0.25">
      <c r="A195" s="705"/>
      <c r="B195" s="706"/>
      <c r="C195" s="706"/>
      <c r="D195" s="707"/>
      <c r="E195" s="159">
        <v>3</v>
      </c>
      <c r="F195" s="807"/>
      <c r="G195" s="793"/>
      <c r="H195" s="793"/>
      <c r="I195" s="784"/>
    </row>
    <row r="196" spans="1:9" hidden="1" x14ac:dyDescent="0.25">
      <c r="A196" s="705"/>
      <c r="B196" s="706"/>
      <c r="C196" s="706"/>
      <c r="D196" s="707"/>
      <c r="E196" s="159">
        <v>4</v>
      </c>
      <c r="F196" s="807"/>
      <c r="G196" s="793"/>
      <c r="H196" s="793"/>
      <c r="I196" s="784"/>
    </row>
    <row r="197" spans="1:9" hidden="1" x14ac:dyDescent="0.25">
      <c r="A197" s="705"/>
      <c r="B197" s="706"/>
      <c r="C197" s="706"/>
      <c r="D197" s="707"/>
      <c r="E197" s="159">
        <v>5</v>
      </c>
      <c r="F197" s="807"/>
      <c r="G197" s="793"/>
      <c r="H197" s="793"/>
      <c r="I197" s="784"/>
    </row>
    <row r="198" spans="1:9" hidden="1" x14ac:dyDescent="0.25">
      <c r="A198" s="705"/>
      <c r="B198" s="706"/>
      <c r="C198" s="706"/>
      <c r="D198" s="707"/>
      <c r="E198" s="159">
        <v>6</v>
      </c>
      <c r="F198" s="807"/>
      <c r="G198" s="793"/>
      <c r="H198" s="793"/>
      <c r="I198" s="784"/>
    </row>
    <row r="199" spans="1:9" hidden="1" x14ac:dyDescent="0.25">
      <c r="A199" s="705"/>
      <c r="B199" s="706"/>
      <c r="C199" s="706"/>
      <c r="D199" s="707"/>
      <c r="E199" s="159">
        <v>7</v>
      </c>
      <c r="F199" s="807"/>
      <c r="G199" s="793"/>
      <c r="H199" s="793"/>
      <c r="I199" s="784"/>
    </row>
    <row r="200" spans="1:9" hidden="1" x14ac:dyDescent="0.25">
      <c r="A200" s="705"/>
      <c r="B200" s="706"/>
      <c r="C200" s="706"/>
      <c r="D200" s="707"/>
      <c r="E200" s="159">
        <v>8</v>
      </c>
      <c r="F200" s="807"/>
      <c r="G200" s="793"/>
      <c r="H200" s="793"/>
      <c r="I200" s="784"/>
    </row>
    <row r="201" spans="1:9" hidden="1" x14ac:dyDescent="0.25">
      <c r="A201" s="705"/>
      <c r="B201" s="706"/>
      <c r="C201" s="706"/>
      <c r="D201" s="707"/>
      <c r="E201" s="159">
        <v>9</v>
      </c>
      <c r="F201" s="807"/>
      <c r="G201" s="793"/>
      <c r="H201" s="793"/>
      <c r="I201" s="784"/>
    </row>
    <row r="202" spans="1:9" ht="15.75" hidden="1" thickBot="1" x14ac:dyDescent="0.3">
      <c r="A202" s="705"/>
      <c r="B202" s="706"/>
      <c r="C202" s="706"/>
      <c r="D202" s="707"/>
      <c r="E202" s="330">
        <v>10</v>
      </c>
      <c r="F202" s="808"/>
      <c r="G202" s="793"/>
      <c r="H202" s="793"/>
      <c r="I202" s="784"/>
    </row>
    <row r="203" spans="1:9" hidden="1" x14ac:dyDescent="0.25">
      <c r="A203" s="750" t="s">
        <v>15</v>
      </c>
      <c r="B203" s="751"/>
      <c r="C203" s="751"/>
      <c r="D203" s="752"/>
      <c r="E203" s="155">
        <v>0</v>
      </c>
      <c r="F203" s="798">
        <f>SUM(F132:F144)*'2.1.b Veículos'!D11</f>
        <v>0</v>
      </c>
      <c r="G203" s="792">
        <f>SUM(G132:G144)*'2.1.b Veículos'!E11</f>
        <v>0</v>
      </c>
      <c r="H203" s="792">
        <f>SUM(H132:H144)*'2.1.b Veículos'!F11</f>
        <v>0</v>
      </c>
      <c r="I203" s="787">
        <f>SUM(I132:I144)*'2.1.b Veículos'!G11</f>
        <v>0</v>
      </c>
    </row>
    <row r="204" spans="1:9" hidden="1" x14ac:dyDescent="0.25">
      <c r="A204" s="705"/>
      <c r="B204" s="706"/>
      <c r="C204" s="706"/>
      <c r="D204" s="707"/>
      <c r="E204" s="156">
        <v>1</v>
      </c>
      <c r="F204" s="799"/>
      <c r="G204" s="793"/>
      <c r="H204" s="793"/>
      <c r="I204" s="784"/>
    </row>
    <row r="205" spans="1:9" hidden="1" x14ac:dyDescent="0.25">
      <c r="A205" s="705"/>
      <c r="B205" s="706"/>
      <c r="C205" s="706"/>
      <c r="D205" s="707"/>
      <c r="E205" s="156">
        <v>2</v>
      </c>
      <c r="F205" s="799"/>
      <c r="G205" s="793"/>
      <c r="H205" s="793"/>
      <c r="I205" s="784"/>
    </row>
    <row r="206" spans="1:9" hidden="1" x14ac:dyDescent="0.25">
      <c r="A206" s="705"/>
      <c r="B206" s="706"/>
      <c r="C206" s="706"/>
      <c r="D206" s="707"/>
      <c r="E206" s="156">
        <v>3</v>
      </c>
      <c r="F206" s="799"/>
      <c r="G206" s="793"/>
      <c r="H206" s="793"/>
      <c r="I206" s="784"/>
    </row>
    <row r="207" spans="1:9" hidden="1" x14ac:dyDescent="0.25">
      <c r="A207" s="705"/>
      <c r="B207" s="706"/>
      <c r="C207" s="706"/>
      <c r="D207" s="707"/>
      <c r="E207" s="156">
        <v>4</v>
      </c>
      <c r="F207" s="799"/>
      <c r="G207" s="793"/>
      <c r="H207" s="793"/>
      <c r="I207" s="784"/>
    </row>
    <row r="208" spans="1:9" hidden="1" x14ac:dyDescent="0.25">
      <c r="A208" s="705"/>
      <c r="B208" s="706"/>
      <c r="C208" s="706"/>
      <c r="D208" s="707"/>
      <c r="E208" s="156">
        <v>5</v>
      </c>
      <c r="F208" s="799"/>
      <c r="G208" s="793"/>
      <c r="H208" s="793"/>
      <c r="I208" s="784"/>
    </row>
    <row r="209" spans="1:9" hidden="1" x14ac:dyDescent="0.25">
      <c r="A209" s="705"/>
      <c r="B209" s="706"/>
      <c r="C209" s="706"/>
      <c r="D209" s="707"/>
      <c r="E209" s="156">
        <v>6</v>
      </c>
      <c r="F209" s="799"/>
      <c r="G209" s="793"/>
      <c r="H209" s="793"/>
      <c r="I209" s="784"/>
    </row>
    <row r="210" spans="1:9" hidden="1" x14ac:dyDescent="0.25">
      <c r="A210" s="705"/>
      <c r="B210" s="706"/>
      <c r="C210" s="706"/>
      <c r="D210" s="707"/>
      <c r="E210" s="156">
        <v>7</v>
      </c>
      <c r="F210" s="799"/>
      <c r="G210" s="793"/>
      <c r="H210" s="793"/>
      <c r="I210" s="784"/>
    </row>
    <row r="211" spans="1:9" hidden="1" x14ac:dyDescent="0.25">
      <c r="A211" s="705"/>
      <c r="B211" s="706"/>
      <c r="C211" s="706"/>
      <c r="D211" s="707"/>
      <c r="E211" s="156">
        <v>8</v>
      </c>
      <c r="F211" s="799"/>
      <c r="G211" s="793"/>
      <c r="H211" s="793"/>
      <c r="I211" s="784"/>
    </row>
    <row r="212" spans="1:9" hidden="1" x14ac:dyDescent="0.25">
      <c r="A212" s="705"/>
      <c r="B212" s="706"/>
      <c r="C212" s="706"/>
      <c r="D212" s="707"/>
      <c r="E212" s="156">
        <v>9</v>
      </c>
      <c r="F212" s="799"/>
      <c r="G212" s="793"/>
      <c r="H212" s="793"/>
      <c r="I212" s="784"/>
    </row>
    <row r="213" spans="1:9" hidden="1" x14ac:dyDescent="0.25">
      <c r="A213" s="705"/>
      <c r="B213" s="706"/>
      <c r="C213" s="706"/>
      <c r="D213" s="707"/>
      <c r="E213" s="156">
        <v>10</v>
      </c>
      <c r="F213" s="799"/>
      <c r="G213" s="793"/>
      <c r="H213" s="793"/>
      <c r="I213" s="784"/>
    </row>
    <row r="214" spans="1:9" hidden="1" x14ac:dyDescent="0.25">
      <c r="A214" s="705"/>
      <c r="B214" s="706"/>
      <c r="C214" s="706"/>
      <c r="D214" s="707"/>
      <c r="E214" s="156">
        <v>11</v>
      </c>
      <c r="F214" s="799"/>
      <c r="G214" s="793"/>
      <c r="H214" s="793"/>
      <c r="I214" s="784"/>
    </row>
    <row r="215" spans="1:9" ht="15.75" hidden="1" thickBot="1" x14ac:dyDescent="0.3">
      <c r="A215" s="753"/>
      <c r="B215" s="754"/>
      <c r="C215" s="754"/>
      <c r="D215" s="755"/>
      <c r="E215" s="157">
        <v>12</v>
      </c>
      <c r="F215" s="800"/>
      <c r="G215" s="794"/>
      <c r="H215" s="794"/>
      <c r="I215" s="788"/>
    </row>
    <row r="216" spans="1:9" hidden="1" x14ac:dyDescent="0.25">
      <c r="A216" s="801" t="s">
        <v>16</v>
      </c>
      <c r="B216" s="802"/>
      <c r="C216" s="802"/>
      <c r="D216" s="802"/>
      <c r="E216" s="165">
        <v>0</v>
      </c>
      <c r="F216" s="803">
        <f>SUM(F145:F157)*'2.1.b Veículos'!D12</f>
        <v>0</v>
      </c>
      <c r="G216" s="803">
        <f>SUM(G145:G157)*'2.1.b Veículos'!E12</f>
        <v>0</v>
      </c>
      <c r="H216" s="803">
        <f>SUM(H145:H157)*'2.1.b Veículos'!F12</f>
        <v>0</v>
      </c>
      <c r="I216" s="795">
        <f>SUM(I145:I157)*'2.1.b Veículos'!G12</f>
        <v>0</v>
      </c>
    </row>
    <row r="217" spans="1:9" hidden="1" x14ac:dyDescent="0.25">
      <c r="A217" s="758"/>
      <c r="B217" s="715"/>
      <c r="C217" s="715"/>
      <c r="D217" s="715"/>
      <c r="E217" s="156">
        <v>1</v>
      </c>
      <c r="F217" s="804"/>
      <c r="G217" s="804"/>
      <c r="H217" s="804"/>
      <c r="I217" s="796"/>
    </row>
    <row r="218" spans="1:9" hidden="1" x14ac:dyDescent="0.25">
      <c r="A218" s="758"/>
      <c r="B218" s="715"/>
      <c r="C218" s="715"/>
      <c r="D218" s="715"/>
      <c r="E218" s="156">
        <v>2</v>
      </c>
      <c r="F218" s="804"/>
      <c r="G218" s="804"/>
      <c r="H218" s="804"/>
      <c r="I218" s="796"/>
    </row>
    <row r="219" spans="1:9" hidden="1" x14ac:dyDescent="0.25">
      <c r="A219" s="758"/>
      <c r="B219" s="715"/>
      <c r="C219" s="715"/>
      <c r="D219" s="715"/>
      <c r="E219" s="156">
        <v>3</v>
      </c>
      <c r="F219" s="804"/>
      <c r="G219" s="804"/>
      <c r="H219" s="804"/>
      <c r="I219" s="796"/>
    </row>
    <row r="220" spans="1:9" hidden="1" x14ac:dyDescent="0.25">
      <c r="A220" s="758"/>
      <c r="B220" s="715"/>
      <c r="C220" s="715"/>
      <c r="D220" s="715"/>
      <c r="E220" s="156">
        <v>4</v>
      </c>
      <c r="F220" s="804"/>
      <c r="G220" s="804"/>
      <c r="H220" s="804"/>
      <c r="I220" s="796"/>
    </row>
    <row r="221" spans="1:9" hidden="1" x14ac:dyDescent="0.25">
      <c r="A221" s="758"/>
      <c r="B221" s="715"/>
      <c r="C221" s="715"/>
      <c r="D221" s="715"/>
      <c r="E221" s="156">
        <v>5</v>
      </c>
      <c r="F221" s="804"/>
      <c r="G221" s="804"/>
      <c r="H221" s="804"/>
      <c r="I221" s="796"/>
    </row>
    <row r="222" spans="1:9" hidden="1" x14ac:dyDescent="0.25">
      <c r="A222" s="758"/>
      <c r="B222" s="715"/>
      <c r="C222" s="715"/>
      <c r="D222" s="715"/>
      <c r="E222" s="156">
        <v>6</v>
      </c>
      <c r="F222" s="804"/>
      <c r="G222" s="804"/>
      <c r="H222" s="804"/>
      <c r="I222" s="796"/>
    </row>
    <row r="223" spans="1:9" hidden="1" x14ac:dyDescent="0.25">
      <c r="A223" s="758"/>
      <c r="B223" s="715"/>
      <c r="C223" s="715"/>
      <c r="D223" s="715"/>
      <c r="E223" s="156">
        <v>7</v>
      </c>
      <c r="F223" s="804"/>
      <c r="G223" s="804"/>
      <c r="H223" s="804"/>
      <c r="I223" s="796"/>
    </row>
    <row r="224" spans="1:9" hidden="1" x14ac:dyDescent="0.25">
      <c r="A224" s="758"/>
      <c r="B224" s="715"/>
      <c r="C224" s="715"/>
      <c r="D224" s="715"/>
      <c r="E224" s="156">
        <v>8</v>
      </c>
      <c r="F224" s="804"/>
      <c r="G224" s="804"/>
      <c r="H224" s="804"/>
      <c r="I224" s="796"/>
    </row>
    <row r="225" spans="1:9" hidden="1" x14ac:dyDescent="0.25">
      <c r="A225" s="758"/>
      <c r="B225" s="715"/>
      <c r="C225" s="715"/>
      <c r="D225" s="715"/>
      <c r="E225" s="156">
        <v>9</v>
      </c>
      <c r="F225" s="804"/>
      <c r="G225" s="804"/>
      <c r="H225" s="804"/>
      <c r="I225" s="796"/>
    </row>
    <row r="226" spans="1:9" hidden="1" x14ac:dyDescent="0.25">
      <c r="A226" s="758"/>
      <c r="B226" s="715"/>
      <c r="C226" s="715"/>
      <c r="D226" s="715"/>
      <c r="E226" s="156">
        <v>10</v>
      </c>
      <c r="F226" s="804"/>
      <c r="G226" s="804"/>
      <c r="H226" s="804"/>
      <c r="I226" s="796"/>
    </row>
    <row r="227" spans="1:9" hidden="1" x14ac:dyDescent="0.25">
      <c r="A227" s="758"/>
      <c r="B227" s="715"/>
      <c r="C227" s="715"/>
      <c r="D227" s="715"/>
      <c r="E227" s="156">
        <v>11</v>
      </c>
      <c r="F227" s="804"/>
      <c r="G227" s="804"/>
      <c r="H227" s="804"/>
      <c r="I227" s="796"/>
    </row>
    <row r="228" spans="1:9" ht="15.75" hidden="1" thickBot="1" x14ac:dyDescent="0.3">
      <c r="A228" s="759"/>
      <c r="B228" s="760"/>
      <c r="C228" s="760"/>
      <c r="D228" s="760"/>
      <c r="E228" s="157">
        <v>12</v>
      </c>
      <c r="F228" s="805"/>
      <c r="G228" s="805"/>
      <c r="H228" s="805"/>
      <c r="I228" s="797"/>
    </row>
    <row r="230" spans="1:9" x14ac:dyDescent="0.25">
      <c r="A230" s="22" t="s">
        <v>705</v>
      </c>
      <c r="B230" s="27" t="s">
        <v>747</v>
      </c>
    </row>
    <row r="231" spans="1:9" ht="21" x14ac:dyDescent="0.25">
      <c r="A231" s="713" t="s">
        <v>144</v>
      </c>
      <c r="B231" s="713"/>
      <c r="C231" s="713"/>
      <c r="D231" s="713"/>
      <c r="E231" s="713"/>
      <c r="F231" s="714"/>
      <c r="G231" s="109">
        <f>SUM(F162:I226)*('2.1.c Insumos'!F68/100)/12</f>
        <v>888.04171666666605</v>
      </c>
    </row>
  </sheetData>
  <mergeCells count="74">
    <mergeCell ref="L6:O6"/>
    <mergeCell ref="A6:D7"/>
    <mergeCell ref="E6:E7"/>
    <mergeCell ref="F6:F7"/>
    <mergeCell ref="A8:D8"/>
    <mergeCell ref="A9:D9"/>
    <mergeCell ref="F17:G17"/>
    <mergeCell ref="H17:I17"/>
    <mergeCell ref="A11:D11"/>
    <mergeCell ref="A12:D12"/>
    <mergeCell ref="A13:D13"/>
    <mergeCell ref="A14:D14"/>
    <mergeCell ref="A10:D10"/>
    <mergeCell ref="A17:D18"/>
    <mergeCell ref="A145:D157"/>
    <mergeCell ref="A132:D144"/>
    <mergeCell ref="A103:D111"/>
    <mergeCell ref="A49:D59"/>
    <mergeCell ref="G162:G167"/>
    <mergeCell ref="A60:D72"/>
    <mergeCell ref="E89:E90"/>
    <mergeCell ref="A73:D85"/>
    <mergeCell ref="A112:D120"/>
    <mergeCell ref="F160:G160"/>
    <mergeCell ref="J17:J18"/>
    <mergeCell ref="A91:D96"/>
    <mergeCell ref="A97:D102"/>
    <mergeCell ref="A121:D131"/>
    <mergeCell ref="F89:G89"/>
    <mergeCell ref="H89:I89"/>
    <mergeCell ref="A19:D24"/>
    <mergeCell ref="A25:D30"/>
    <mergeCell ref="A89:D90"/>
    <mergeCell ref="A40:D48"/>
    <mergeCell ref="A31:D39"/>
    <mergeCell ref="E17:E18"/>
    <mergeCell ref="A231:F231"/>
    <mergeCell ref="A203:D215"/>
    <mergeCell ref="F192:F202"/>
    <mergeCell ref="G192:G202"/>
    <mergeCell ref="H192:H202"/>
    <mergeCell ref="H203:H215"/>
    <mergeCell ref="G203:G215"/>
    <mergeCell ref="I216:I228"/>
    <mergeCell ref="F203:F215"/>
    <mergeCell ref="A174:D182"/>
    <mergeCell ref="F174:F182"/>
    <mergeCell ref="G174:G182"/>
    <mergeCell ref="H174:H182"/>
    <mergeCell ref="I174:I182"/>
    <mergeCell ref="I203:I215"/>
    <mergeCell ref="A183:D191"/>
    <mergeCell ref="A216:D228"/>
    <mergeCell ref="F216:F228"/>
    <mergeCell ref="G216:G228"/>
    <mergeCell ref="H216:H228"/>
    <mergeCell ref="F183:F191"/>
    <mergeCell ref="G183:G191"/>
    <mergeCell ref="H183:H191"/>
    <mergeCell ref="I192:I202"/>
    <mergeCell ref="A192:D202"/>
    <mergeCell ref="H160:I160"/>
    <mergeCell ref="A162:D167"/>
    <mergeCell ref="A168:D173"/>
    <mergeCell ref="I162:I167"/>
    <mergeCell ref="I168:I173"/>
    <mergeCell ref="A160:D161"/>
    <mergeCell ref="E160:E161"/>
    <mergeCell ref="F162:F167"/>
    <mergeCell ref="H162:H167"/>
    <mergeCell ref="F168:F173"/>
    <mergeCell ref="G168:G173"/>
    <mergeCell ref="H168:H173"/>
    <mergeCell ref="I183:I191"/>
  </mergeCells>
  <pageMargins left="0.78740157499999996" right="0.78740157499999996" top="0.984251969" bottom="0.984251969" header="0.49212598499999999" footer="0.49212598499999999"/>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Planilha35">
    <tabColor theme="6" tint="0.39997558519241921"/>
  </sheetPr>
  <dimension ref="A1:L20"/>
  <sheetViews>
    <sheetView topLeftCell="A16" workbookViewId="0">
      <selection activeCell="D20" sqref="D20"/>
    </sheetView>
  </sheetViews>
  <sheetFormatPr defaultRowHeight="12.75" x14ac:dyDescent="0.2"/>
  <cols>
    <col min="1" max="3" width="9.140625" customWidth="1"/>
    <col min="4" max="4" width="15.42578125" bestFit="1" customWidth="1"/>
    <col min="5" max="5" width="14.140625" customWidth="1"/>
    <col min="6" max="6" width="15.42578125" bestFit="1" customWidth="1"/>
    <col min="7" max="7" width="28.7109375" customWidth="1"/>
  </cols>
  <sheetData>
    <row r="1" spans="1:12" ht="15" x14ac:dyDescent="0.25">
      <c r="A1" s="20" t="s">
        <v>698</v>
      </c>
      <c r="E1" s="6"/>
      <c r="F1" s="6"/>
      <c r="G1" s="6"/>
      <c r="H1" s="6"/>
      <c r="I1" s="6"/>
      <c r="J1" s="6"/>
      <c r="K1" s="6"/>
    </row>
    <row r="2" spans="1:12" ht="15.75" thickBot="1" x14ac:dyDescent="0.3">
      <c r="A2" s="27"/>
      <c r="B2" s="27"/>
      <c r="C2" s="6"/>
      <c r="D2" s="6"/>
      <c r="E2" s="6"/>
      <c r="F2" s="6"/>
      <c r="G2" s="6"/>
      <c r="H2" s="6"/>
      <c r="I2" s="6"/>
      <c r="J2" s="6"/>
      <c r="K2" s="6"/>
    </row>
    <row r="3" spans="1:12" ht="15.75" thickBot="1" x14ac:dyDescent="0.3">
      <c r="A3" s="22" t="s">
        <v>707</v>
      </c>
      <c r="B3" s="27" t="s">
        <v>706</v>
      </c>
      <c r="C3" s="6"/>
      <c r="D3" s="6"/>
      <c r="E3" s="6"/>
      <c r="F3" s="6"/>
      <c r="G3" s="6"/>
      <c r="H3" s="6"/>
      <c r="I3" s="518" t="s">
        <v>83</v>
      </c>
      <c r="J3" s="519"/>
      <c r="K3" s="519"/>
      <c r="L3" s="520"/>
    </row>
    <row r="4" spans="1:12" ht="15" x14ac:dyDescent="0.25">
      <c r="A4" s="27"/>
      <c r="B4" s="27"/>
      <c r="C4" s="6"/>
      <c r="D4" s="6"/>
      <c r="E4" s="6"/>
      <c r="F4" s="6"/>
      <c r="G4" s="6"/>
      <c r="H4" s="6"/>
      <c r="I4" s="33"/>
      <c r="J4" s="64"/>
      <c r="K4" s="64"/>
      <c r="L4" s="34"/>
    </row>
    <row r="5" spans="1:12" ht="15" x14ac:dyDescent="0.25">
      <c r="A5" s="22" t="s">
        <v>708</v>
      </c>
      <c r="B5" s="27" t="s">
        <v>147</v>
      </c>
      <c r="C5" s="6"/>
      <c r="D5" s="6"/>
      <c r="E5" s="6"/>
      <c r="F5" s="6"/>
      <c r="G5" s="6"/>
      <c r="I5" s="35"/>
      <c r="J5" s="2"/>
      <c r="K5" s="44" t="s">
        <v>81</v>
      </c>
      <c r="L5" s="36"/>
    </row>
    <row r="6" spans="1:12" ht="15" x14ac:dyDescent="0.25">
      <c r="A6" s="27"/>
      <c r="B6" s="27"/>
      <c r="C6" s="6"/>
      <c r="D6" s="6"/>
      <c r="E6" s="6"/>
      <c r="F6" s="6"/>
      <c r="G6" s="6"/>
      <c r="I6" s="35"/>
      <c r="J6" s="4"/>
      <c r="K6" s="44" t="s">
        <v>93</v>
      </c>
      <c r="L6" s="36"/>
    </row>
    <row r="7" spans="1:12" ht="15.75" x14ac:dyDescent="0.25">
      <c r="A7" s="820"/>
      <c r="B7" s="821"/>
      <c r="C7" s="821"/>
      <c r="D7" s="822"/>
      <c r="E7" s="245" t="s">
        <v>148</v>
      </c>
      <c r="F7" s="246" t="s">
        <v>149</v>
      </c>
      <c r="G7" s="6"/>
      <c r="I7" s="35"/>
      <c r="J7" s="43"/>
      <c r="K7" s="44" t="s">
        <v>82</v>
      </c>
      <c r="L7" s="36"/>
    </row>
    <row r="8" spans="1:12" ht="33.75" customHeight="1" thickBot="1" x14ac:dyDescent="0.3">
      <c r="A8" s="823" t="s">
        <v>710</v>
      </c>
      <c r="B8" s="824"/>
      <c r="C8" s="824"/>
      <c r="D8" s="825"/>
      <c r="E8" s="413" t="s">
        <v>238</v>
      </c>
      <c r="F8" s="412">
        <f>IF('2.1.c Insumos'!F71="","Preencher valor do CIT em Dados de Insumo",('2.1.c Insumos'!F71/('2.1.b Veículos'!D58*SUM('1.3 Frota Total'!C19:F25))))</f>
        <v>0.34663847340416315</v>
      </c>
      <c r="G8" s="6"/>
      <c r="I8" s="37"/>
      <c r="J8" s="38"/>
      <c r="K8" s="38"/>
      <c r="L8" s="39"/>
    </row>
    <row r="9" spans="1:12" ht="36" customHeight="1" x14ac:dyDescent="0.25">
      <c r="A9" s="823" t="s">
        <v>711</v>
      </c>
      <c r="B9" s="824"/>
      <c r="C9" s="824"/>
      <c r="D9" s="825"/>
      <c r="E9" s="414" t="s">
        <v>150</v>
      </c>
      <c r="F9" s="412">
        <v>1.52E-2</v>
      </c>
      <c r="G9" s="6"/>
    </row>
    <row r="10" spans="1:12" ht="51.75" customHeight="1" x14ac:dyDescent="0.25">
      <c r="A10" s="823" t="s">
        <v>712</v>
      </c>
      <c r="B10" s="824"/>
      <c r="C10" s="824"/>
      <c r="D10" s="825"/>
      <c r="E10" s="414" t="s">
        <v>151</v>
      </c>
      <c r="F10" s="412">
        <f>IF('2.1.c Insumos'!F75="","Preencher valor do CIG em Dados de Insumo",(0.5*'2.1.c Insumos'!F75/('2.1.b Veículos'!D58*SUM('1.3 Frota Total'!C19:F25))))</f>
        <v>8.1243392204100734E-3</v>
      </c>
      <c r="G10" s="6"/>
    </row>
    <row r="11" spans="1:12" ht="15" x14ac:dyDescent="0.25">
      <c r="A11" s="27"/>
      <c r="B11" s="27"/>
      <c r="C11" s="6"/>
      <c r="D11" s="6"/>
      <c r="E11" s="6"/>
      <c r="F11" s="6"/>
      <c r="G11" s="6"/>
      <c r="H11" s="6"/>
      <c r="I11" s="6"/>
      <c r="J11" s="6"/>
      <c r="K11" s="6"/>
    </row>
    <row r="12" spans="1:12" ht="15" x14ac:dyDescent="0.25">
      <c r="A12" s="27"/>
      <c r="B12" s="27"/>
      <c r="C12" s="6"/>
      <c r="D12" s="6"/>
      <c r="E12" s="6"/>
      <c r="F12" s="6"/>
      <c r="G12" s="6"/>
      <c r="H12" s="6"/>
      <c r="I12" s="6"/>
      <c r="J12" s="6"/>
      <c r="K12" s="6"/>
    </row>
    <row r="13" spans="1:12" ht="15.75" x14ac:dyDescent="0.25">
      <c r="A13" s="814"/>
      <c r="B13" s="815"/>
      <c r="C13" s="815"/>
      <c r="D13" s="816"/>
      <c r="E13" s="187" t="s">
        <v>148</v>
      </c>
      <c r="F13" s="188" t="s">
        <v>149</v>
      </c>
      <c r="G13" s="6"/>
    </row>
    <row r="14" spans="1:12" ht="30.75" customHeight="1" x14ac:dyDescent="0.2">
      <c r="A14" s="817" t="s">
        <v>710</v>
      </c>
      <c r="B14" s="818"/>
      <c r="C14" s="818"/>
      <c r="D14" s="819"/>
      <c r="E14" s="415" t="s">
        <v>238</v>
      </c>
      <c r="F14" s="184">
        <v>0.17</v>
      </c>
      <c r="G14" s="241"/>
      <c r="H14" s="138"/>
    </row>
    <row r="15" spans="1:12" ht="42" customHeight="1" x14ac:dyDescent="0.2">
      <c r="A15" s="817" t="s">
        <v>711</v>
      </c>
      <c r="B15" s="818"/>
      <c r="C15" s="818"/>
      <c r="D15" s="819"/>
      <c r="E15" s="416" t="s">
        <v>150</v>
      </c>
      <c r="F15" s="184">
        <v>4.4999999999999998E-2</v>
      </c>
      <c r="G15" s="241"/>
      <c r="H15" s="138"/>
    </row>
    <row r="16" spans="1:12" ht="57.75" customHeight="1" x14ac:dyDescent="0.2">
      <c r="A16" s="817" t="s">
        <v>712</v>
      </c>
      <c r="B16" s="818"/>
      <c r="C16" s="818"/>
      <c r="D16" s="819"/>
      <c r="E16" s="416" t="s">
        <v>151</v>
      </c>
      <c r="F16" s="184">
        <v>1.29E-2</v>
      </c>
      <c r="G16" s="241"/>
    </row>
    <row r="17" spans="1:11" ht="15" x14ac:dyDescent="0.25">
      <c r="A17" s="27"/>
      <c r="B17" s="27"/>
      <c r="C17" s="27"/>
      <c r="D17" s="27"/>
      <c r="E17" s="6"/>
      <c r="F17" s="6"/>
      <c r="G17" s="6"/>
    </row>
    <row r="18" spans="1:11" ht="15" x14ac:dyDescent="0.25">
      <c r="A18" s="22" t="s">
        <v>709</v>
      </c>
      <c r="B18" s="27" t="s">
        <v>713</v>
      </c>
      <c r="C18" s="6"/>
      <c r="D18" s="6"/>
      <c r="E18" s="6"/>
      <c r="F18" s="6"/>
      <c r="G18" s="6"/>
    </row>
    <row r="19" spans="1:11" ht="15" x14ac:dyDescent="0.25">
      <c r="A19" s="6"/>
      <c r="B19" s="6"/>
      <c r="C19" s="6"/>
      <c r="D19" s="6"/>
      <c r="E19" s="58"/>
      <c r="F19" s="6"/>
      <c r="G19" s="6"/>
      <c r="H19" s="6"/>
      <c r="I19" s="6"/>
      <c r="J19" s="6"/>
      <c r="K19" s="6"/>
    </row>
    <row r="20" spans="1:11" ht="15" x14ac:dyDescent="0.25">
      <c r="A20" s="6"/>
      <c r="B20" s="6"/>
      <c r="C20" s="125" t="s">
        <v>152</v>
      </c>
      <c r="D20" s="110">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2234.1879138666668</v>
      </c>
      <c r="E20" s="129"/>
      <c r="F20" s="59"/>
      <c r="G20" s="6"/>
      <c r="H20" s="6"/>
      <c r="I20" s="6"/>
      <c r="J20" s="6"/>
      <c r="K20" s="6"/>
    </row>
  </sheetData>
  <mergeCells count="9">
    <mergeCell ref="I3:L3"/>
    <mergeCell ref="A13:D13"/>
    <mergeCell ref="A14:D14"/>
    <mergeCell ref="A15:D15"/>
    <mergeCell ref="A16:D16"/>
    <mergeCell ref="A7:D7"/>
    <mergeCell ref="A8:D8"/>
    <mergeCell ref="A9:D9"/>
    <mergeCell ref="A10:D10"/>
  </mergeCells>
  <pageMargins left="0.511811024" right="0.511811024" top="0.78740157499999996" bottom="0.78740157499999996" header="0.31496062000000002" footer="0.3149606200000000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Planilha36">
    <tabColor theme="6" tint="0.39997558519241921"/>
  </sheetPr>
  <dimension ref="A1:J9"/>
  <sheetViews>
    <sheetView workbookViewId="0">
      <selection activeCell="A18" sqref="A18"/>
    </sheetView>
  </sheetViews>
  <sheetFormatPr defaultColWidth="11.42578125" defaultRowHeight="15" x14ac:dyDescent="0.25"/>
  <cols>
    <col min="1" max="1" width="7" style="6" customWidth="1"/>
    <col min="2" max="2" width="2.7109375" style="6" customWidth="1"/>
    <col min="3" max="3" width="5.5703125" style="6" bestFit="1" customWidth="1"/>
    <col min="4" max="4" width="22.140625" style="6" customWidth="1"/>
    <col min="5" max="5" width="24.5703125" style="6" customWidth="1"/>
    <col min="6" max="6" width="34.28515625" style="6" customWidth="1"/>
    <col min="7" max="16384" width="11.42578125" style="6"/>
  </cols>
  <sheetData>
    <row r="1" spans="1:10" x14ac:dyDescent="0.25">
      <c r="A1" s="20" t="s">
        <v>698</v>
      </c>
      <c r="B1"/>
    </row>
    <row r="2" spans="1:10" ht="15.75" thickBot="1" x14ac:dyDescent="0.3">
      <c r="A2" s="27"/>
      <c r="B2" s="27"/>
    </row>
    <row r="3" spans="1:10" ht="15.75" thickBot="1" x14ac:dyDescent="0.3">
      <c r="A3" s="22" t="s">
        <v>715</v>
      </c>
      <c r="B3" s="27" t="s">
        <v>714</v>
      </c>
      <c r="G3" s="518" t="s">
        <v>83</v>
      </c>
      <c r="H3" s="519"/>
      <c r="I3" s="519"/>
      <c r="J3" s="520"/>
    </row>
    <row r="4" spans="1:10" x14ac:dyDescent="0.25">
      <c r="G4" s="33"/>
      <c r="H4" s="64"/>
      <c r="I4" s="64"/>
      <c r="J4" s="34"/>
    </row>
    <row r="5" spans="1:10" x14ac:dyDescent="0.25">
      <c r="A5" s="22" t="s">
        <v>716</v>
      </c>
      <c r="B5" s="27" t="s">
        <v>717</v>
      </c>
      <c r="G5" s="35"/>
      <c r="H5" s="2"/>
      <c r="I5" s="44" t="s">
        <v>81</v>
      </c>
      <c r="J5" s="36"/>
    </row>
    <row r="6" spans="1:10" x14ac:dyDescent="0.25">
      <c r="E6" s="59"/>
      <c r="G6" s="35"/>
      <c r="H6" s="4"/>
      <c r="I6" s="44" t="s">
        <v>93</v>
      </c>
      <c r="J6" s="36"/>
    </row>
    <row r="7" spans="1:10" x14ac:dyDescent="0.25">
      <c r="C7" s="247" t="s">
        <v>244</v>
      </c>
      <c r="D7" s="248">
        <f>IF('2.1.c Insumos'!F78="","Preencher valor do CEB em Dados de Insumo",(0.5*'2.1.c Insumos'!F78/('2.1.b Veículos'!D58*SUM('1.3 Frota Total'!C19:F25))))</f>
        <v>1.6248678440820147E-3</v>
      </c>
      <c r="E7" s="59"/>
      <c r="G7" s="35"/>
      <c r="H7" s="43"/>
      <c r="I7" s="44" t="s">
        <v>82</v>
      </c>
      <c r="J7" s="36"/>
    </row>
    <row r="8" spans="1:10" ht="15.75" thickBot="1" x14ac:dyDescent="0.3">
      <c r="G8" s="37"/>
      <c r="H8" s="38"/>
      <c r="I8" s="38"/>
      <c r="J8" s="39"/>
    </row>
    <row r="9" spans="1:10" x14ac:dyDescent="0.25">
      <c r="C9" s="185" t="s">
        <v>244</v>
      </c>
      <c r="D9" s="186">
        <v>0.02</v>
      </c>
      <c r="E9" s="241"/>
    </row>
  </sheetData>
  <mergeCells count="1">
    <mergeCell ref="G3:J3"/>
  </mergeCells>
  <pageMargins left="0.78740157499999996" right="0.78740157499999996" top="0.984251969" bottom="0.984251969" header="0.49212598499999999" footer="0.49212598499999999"/>
  <pageSetup paperSize="9" orientation="portrait" verticalDpi="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Planilha37">
    <tabColor theme="6" tint="0.39997558519241921"/>
  </sheetPr>
  <dimension ref="A1:J8"/>
  <sheetViews>
    <sheetView workbookViewId="0">
      <selection activeCell="D7" sqref="D7"/>
    </sheetView>
  </sheetViews>
  <sheetFormatPr defaultColWidth="11.42578125" defaultRowHeight="15" x14ac:dyDescent="0.25"/>
  <cols>
    <col min="1" max="1" width="7" style="6" customWidth="1"/>
    <col min="2" max="2" width="2.7109375" style="6" customWidth="1"/>
    <col min="3" max="3" width="5.5703125" style="6" bestFit="1" customWidth="1"/>
    <col min="4" max="4" width="22.140625" style="6" customWidth="1"/>
    <col min="5" max="5" width="24.5703125" style="6" customWidth="1"/>
    <col min="6" max="6" width="8.28515625" style="6" customWidth="1"/>
    <col min="7" max="7" width="1.42578125" style="6" customWidth="1"/>
    <col min="8" max="8" width="8.140625" style="6" customWidth="1"/>
    <col min="9" max="9" width="38.7109375" style="6" bestFit="1" customWidth="1"/>
    <col min="10" max="10" width="1.140625" style="6" customWidth="1"/>
    <col min="11" max="16384" width="11.42578125" style="6"/>
  </cols>
  <sheetData>
    <row r="1" spans="1:10" x14ac:dyDescent="0.25">
      <c r="A1" s="20" t="s">
        <v>698</v>
      </c>
      <c r="B1"/>
    </row>
    <row r="2" spans="1:10" ht="15.75" thickBot="1" x14ac:dyDescent="0.3">
      <c r="A2" s="27"/>
      <c r="B2" s="27"/>
    </row>
    <row r="3" spans="1:10" ht="15.75" thickBot="1" x14ac:dyDescent="0.3">
      <c r="A3" s="22" t="s">
        <v>718</v>
      </c>
      <c r="B3" s="27" t="s">
        <v>719</v>
      </c>
      <c r="G3" s="518" t="s">
        <v>83</v>
      </c>
      <c r="H3" s="519"/>
      <c r="I3" s="519"/>
      <c r="J3" s="278"/>
    </row>
    <row r="4" spans="1:10" x14ac:dyDescent="0.25">
      <c r="A4" s="22"/>
      <c r="B4" s="27"/>
      <c r="G4" s="33"/>
      <c r="H4" s="64"/>
      <c r="I4" s="64"/>
      <c r="J4" s="34"/>
    </row>
    <row r="5" spans="1:10" x14ac:dyDescent="0.25">
      <c r="A5" s="22" t="s">
        <v>720</v>
      </c>
      <c r="B5" s="27" t="s">
        <v>721</v>
      </c>
      <c r="G5" s="35"/>
      <c r="H5" s="2"/>
      <c r="I5" s="44" t="s">
        <v>81</v>
      </c>
      <c r="J5" s="36"/>
    </row>
    <row r="6" spans="1:10" x14ac:dyDescent="0.25">
      <c r="G6" s="35"/>
      <c r="H6" s="4"/>
      <c r="I6" s="44" t="s">
        <v>93</v>
      </c>
      <c r="J6" s="36"/>
    </row>
    <row r="7" spans="1:10" x14ac:dyDescent="0.25">
      <c r="C7" s="249" t="s">
        <v>247</v>
      </c>
      <c r="D7" s="250">
        <f>0.5*('1.3 Frota Total'!C103*'2.1.b Veículos'!D17+'1.3 Frota Total'!C104*'2.1.b Veículos'!D18+'1.3 Frota Total'!C105*'2.1.b Veículos'!D19+'1.3 Frota Total'!C106*'2.1.b Veículos'!D20+'1.3 Frota Total'!C107*'2.1.b Veículos'!D21)/('2.1.b Veículos'!D58*SUM('1.3 Frota Total'!C19:F25))</f>
        <v>3.7913583028580341E-3</v>
      </c>
      <c r="E7" s="59"/>
      <c r="G7" s="35"/>
      <c r="H7" s="43"/>
      <c r="I7" s="44" t="s">
        <v>82</v>
      </c>
      <c r="J7" s="36"/>
    </row>
    <row r="8" spans="1:10" ht="15.75" thickBot="1" x14ac:dyDescent="0.3">
      <c r="G8" s="37"/>
      <c r="H8" s="38"/>
      <c r="I8" s="38"/>
      <c r="J8" s="39"/>
    </row>
  </sheetData>
  <mergeCells count="1">
    <mergeCell ref="G3:I3"/>
  </mergeCells>
  <pageMargins left="0.78740157499999996" right="0.78740157499999996" top="0.984251969" bottom="0.984251969" header="0.49212598499999999" footer="0.49212598499999999"/>
  <pageSetup paperSize="9" orientation="portrait" verticalDpi="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Planilha38">
    <tabColor theme="6" tint="0.39997558519241921"/>
  </sheetPr>
  <dimension ref="A1:J24"/>
  <sheetViews>
    <sheetView workbookViewId="0">
      <selection activeCell="E4" sqref="E4"/>
    </sheetView>
  </sheetViews>
  <sheetFormatPr defaultColWidth="11.42578125" defaultRowHeight="15" x14ac:dyDescent="0.25"/>
  <cols>
    <col min="1" max="1" width="7" style="6" customWidth="1"/>
    <col min="2" max="2" width="2.7109375" style="6" customWidth="1"/>
    <col min="3" max="3" width="5.5703125" style="6" bestFit="1" customWidth="1"/>
    <col min="4" max="4" width="22.140625" style="6" customWidth="1"/>
    <col min="5" max="5" width="24.5703125" style="6" customWidth="1"/>
    <col min="6" max="6" width="8.28515625" style="6" customWidth="1"/>
    <col min="7" max="7" width="1.42578125" style="6" customWidth="1"/>
    <col min="8" max="8" width="15.7109375" style="6" bestFit="1" customWidth="1"/>
    <col min="9" max="9" width="38.7109375" style="6" bestFit="1" customWidth="1"/>
    <col min="10" max="10" width="1.140625" style="6" customWidth="1"/>
    <col min="11" max="16384" width="11.42578125" style="6"/>
  </cols>
  <sheetData>
    <row r="1" spans="1:10" x14ac:dyDescent="0.25">
      <c r="A1" s="20" t="s">
        <v>698</v>
      </c>
    </row>
    <row r="2" spans="1:10" ht="15.75" thickBot="1" x14ac:dyDescent="0.3">
      <c r="A2" s="27" t="s">
        <v>242</v>
      </c>
      <c r="B2" s="6" t="s">
        <v>245</v>
      </c>
    </row>
    <row r="3" spans="1:10" ht="16.5" thickBot="1" x14ac:dyDescent="0.3">
      <c r="A3" s="826"/>
      <c r="B3" s="827"/>
      <c r="C3" s="827"/>
      <c r="D3" s="828"/>
      <c r="E3" s="134"/>
      <c r="G3" s="518" t="s">
        <v>83</v>
      </c>
      <c r="H3" s="519"/>
      <c r="I3" s="519"/>
      <c r="J3" s="520"/>
    </row>
    <row r="4" spans="1:10" ht="15.75" x14ac:dyDescent="0.25">
      <c r="A4" s="829" t="s">
        <v>249</v>
      </c>
      <c r="B4" s="830"/>
      <c r="C4" s="830"/>
      <c r="D4" s="831"/>
      <c r="E4" s="132">
        <f>'2.1.c Insumos'!F62</f>
        <v>0</v>
      </c>
      <c r="G4" s="33"/>
      <c r="H4" s="64"/>
      <c r="I4" s="64"/>
      <c r="J4" s="34"/>
    </row>
    <row r="5" spans="1:10" ht="15.75" x14ac:dyDescent="0.25">
      <c r="A5" s="832" t="s">
        <v>250</v>
      </c>
      <c r="B5" s="833"/>
      <c r="C5" s="833"/>
      <c r="D5" s="834"/>
      <c r="E5" s="133" t="e">
        <f>1/E4</f>
        <v>#DIV/0!</v>
      </c>
      <c r="G5" s="35"/>
      <c r="H5" s="2"/>
      <c r="I5" s="44" t="s">
        <v>81</v>
      </c>
      <c r="J5" s="36"/>
    </row>
    <row r="6" spans="1:10" ht="15.75" x14ac:dyDescent="0.25">
      <c r="A6" s="835"/>
      <c r="B6" s="836"/>
      <c r="C6" s="836"/>
      <c r="D6" s="837"/>
      <c r="E6" s="135"/>
      <c r="G6" s="35"/>
      <c r="H6" s="4"/>
      <c r="I6" s="44" t="s">
        <v>93</v>
      </c>
      <c r="J6" s="36"/>
    </row>
    <row r="7" spans="1:10" ht="15" customHeight="1" x14ac:dyDescent="0.25">
      <c r="A7" s="27"/>
      <c r="B7" s="27"/>
      <c r="C7" s="27"/>
      <c r="D7" s="27"/>
      <c r="G7" s="35"/>
      <c r="H7" s="43"/>
      <c r="I7" s="44" t="s">
        <v>82</v>
      </c>
      <c r="J7" s="36"/>
    </row>
    <row r="8" spans="1:10" ht="15.75" thickBot="1" x14ac:dyDescent="0.3">
      <c r="A8" s="27" t="s">
        <v>246</v>
      </c>
      <c r="B8" s="27" t="s">
        <v>243</v>
      </c>
      <c r="G8" s="37"/>
      <c r="H8" s="38"/>
      <c r="I8" s="38"/>
      <c r="J8" s="39"/>
    </row>
    <row r="10" spans="1:10" x14ac:dyDescent="0.25">
      <c r="C10" s="136" t="s">
        <v>248</v>
      </c>
      <c r="D10" s="130" t="e">
        <f>(1/12)*(1-(E5*(E4/2)))</f>
        <v>#DIV/0!</v>
      </c>
      <c r="E10" s="59"/>
    </row>
    <row r="24" spans="5:5" x14ac:dyDescent="0.25">
      <c r="E24" s="20"/>
    </row>
  </sheetData>
  <mergeCells count="5">
    <mergeCell ref="A3:D3"/>
    <mergeCell ref="G3:J3"/>
    <mergeCell ref="A4:D4"/>
    <mergeCell ref="A5:D5"/>
    <mergeCell ref="A6:D6"/>
  </mergeCells>
  <pageMargins left="0.78740157499999996" right="0.78740157499999996" top="0.984251969" bottom="0.984251969" header="0.49212598499999999" footer="0.49212598499999999"/>
  <pageSetup paperSize="9" orientation="portrait" verticalDpi="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Planilha39">
    <tabColor theme="6" tint="0.39997558519241921"/>
  </sheetPr>
  <dimension ref="A1:N9"/>
  <sheetViews>
    <sheetView workbookViewId="0"/>
  </sheetViews>
  <sheetFormatPr defaultRowHeight="12.75" x14ac:dyDescent="0.2"/>
  <sheetData>
    <row r="1" spans="1:14" ht="15.75" thickBot="1" x14ac:dyDescent="0.3">
      <c r="A1" s="20" t="s">
        <v>698</v>
      </c>
    </row>
    <row r="2" spans="1:14" ht="15.75" thickBot="1" x14ac:dyDescent="0.3">
      <c r="A2" s="27"/>
      <c r="B2" s="27"/>
      <c r="K2" s="518" t="s">
        <v>83</v>
      </c>
      <c r="L2" s="519"/>
      <c r="M2" s="519"/>
      <c r="N2" s="520"/>
    </row>
    <row r="3" spans="1:14" ht="15" x14ac:dyDescent="0.25">
      <c r="A3" s="22" t="s">
        <v>723</v>
      </c>
      <c r="B3" s="27" t="s">
        <v>722</v>
      </c>
      <c r="K3" s="33"/>
      <c r="L3" s="64"/>
      <c r="M3" s="64"/>
      <c r="N3" s="34"/>
    </row>
    <row r="4" spans="1:14" ht="15" x14ac:dyDescent="0.25">
      <c r="K4" s="35"/>
      <c r="L4" s="2"/>
      <c r="M4" s="44" t="s">
        <v>81</v>
      </c>
      <c r="N4" s="36"/>
    </row>
    <row r="5" spans="1:14" ht="15" x14ac:dyDescent="0.25">
      <c r="A5" s="22" t="s">
        <v>724</v>
      </c>
      <c r="B5" s="27" t="s">
        <v>725</v>
      </c>
      <c r="K5" s="35"/>
      <c r="L5" s="4"/>
      <c r="M5" s="44" t="s">
        <v>93</v>
      </c>
      <c r="N5" s="36"/>
    </row>
    <row r="6" spans="1:14" ht="15" x14ac:dyDescent="0.25">
      <c r="A6" s="22"/>
      <c r="B6" s="27"/>
      <c r="K6" s="35"/>
      <c r="L6" s="43"/>
      <c r="M6" s="44" t="s">
        <v>82</v>
      </c>
      <c r="N6" s="36"/>
    </row>
    <row r="7" spans="1:14" ht="15.75" thickBot="1" x14ac:dyDescent="0.3">
      <c r="A7" s="6"/>
      <c r="B7" s="176" t="s">
        <v>248</v>
      </c>
      <c r="C7" s="342">
        <v>0.5</v>
      </c>
      <c r="D7" s="241"/>
      <c r="E7" s="6"/>
      <c r="K7" s="37"/>
      <c r="L7" s="38"/>
      <c r="M7" s="38"/>
      <c r="N7" s="39"/>
    </row>
    <row r="8" spans="1:14" ht="15" x14ac:dyDescent="0.25">
      <c r="A8" s="6"/>
      <c r="B8" s="6"/>
      <c r="C8" s="6"/>
      <c r="D8" s="59"/>
      <c r="E8" s="6"/>
    </row>
    <row r="9" spans="1:14" ht="15" x14ac:dyDescent="0.25">
      <c r="A9" s="6"/>
      <c r="B9" s="6"/>
      <c r="C9" s="6"/>
      <c r="D9" s="6"/>
      <c r="E9" s="6"/>
    </row>
  </sheetData>
  <mergeCells count="1">
    <mergeCell ref="K2:N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tabColor theme="9" tint="0.59999389629810485"/>
    <pageSetUpPr fitToPage="1"/>
  </sheetPr>
  <dimension ref="A1:M137"/>
  <sheetViews>
    <sheetView topLeftCell="A13" workbookViewId="0">
      <selection activeCell="D21" sqref="D21"/>
    </sheetView>
  </sheetViews>
  <sheetFormatPr defaultColWidth="11.42578125" defaultRowHeight="15" x14ac:dyDescent="0.25"/>
  <cols>
    <col min="1" max="1" width="12.28515625" style="6" customWidth="1"/>
    <col min="2" max="2" width="31.5703125" style="6" customWidth="1"/>
    <col min="3" max="3" width="48.42578125" style="6" bestFit="1" customWidth="1"/>
    <col min="4" max="4" width="38.7109375" style="6" customWidth="1"/>
    <col min="5" max="5" width="36.7109375" style="6" customWidth="1"/>
    <col min="6" max="6" width="30.7109375" style="6" customWidth="1"/>
    <col min="7" max="7" width="27.42578125" style="6" customWidth="1"/>
    <col min="8" max="8" width="29.28515625" style="6" customWidth="1"/>
    <col min="9" max="9" width="11.42578125" style="6" customWidth="1"/>
    <col min="10" max="10" width="1" style="6" customWidth="1"/>
    <col min="11" max="11" width="11.42578125" style="6" customWidth="1"/>
    <col min="12" max="12" width="38.7109375" style="6" bestFit="1" customWidth="1"/>
    <col min="13" max="13" width="1" style="6" customWidth="1"/>
    <col min="14" max="16384" width="11.42578125" style="6"/>
  </cols>
  <sheetData>
    <row r="1" spans="1:13" x14ac:dyDescent="0.25">
      <c r="A1" s="517" t="s">
        <v>484</v>
      </c>
      <c r="B1" s="517"/>
      <c r="C1" s="517"/>
      <c r="D1" s="517"/>
      <c r="E1" s="517"/>
      <c r="F1" s="517"/>
      <c r="G1" s="517"/>
      <c r="H1" s="517"/>
      <c r="I1" s="517"/>
      <c r="J1" s="517"/>
      <c r="K1" s="517"/>
    </row>
    <row r="2" spans="1:13" ht="15.75" thickBot="1" x14ac:dyDescent="0.3"/>
    <row r="3" spans="1:13" ht="15.75" thickBot="1" x14ac:dyDescent="0.3">
      <c r="A3" s="283" t="s">
        <v>485</v>
      </c>
      <c r="C3" s="590" t="s">
        <v>486</v>
      </c>
      <c r="D3" s="590"/>
      <c r="E3" s="590"/>
      <c r="J3" s="518" t="s">
        <v>83</v>
      </c>
      <c r="K3" s="519"/>
      <c r="L3" s="519"/>
      <c r="M3" s="520"/>
    </row>
    <row r="4" spans="1:13" x14ac:dyDescent="0.25">
      <c r="A4" s="283"/>
      <c r="C4" s="286" t="s">
        <v>487</v>
      </c>
      <c r="D4" s="286" t="s">
        <v>488</v>
      </c>
      <c r="E4" s="286" t="s">
        <v>489</v>
      </c>
      <c r="J4" s="33"/>
      <c r="K4" s="64"/>
      <c r="L4" s="64"/>
      <c r="M4" s="34"/>
    </row>
    <row r="5" spans="1:13" x14ac:dyDescent="0.25">
      <c r="A5" s="588" t="s">
        <v>10</v>
      </c>
      <c r="B5" s="589"/>
      <c r="C5" s="287" t="s">
        <v>502</v>
      </c>
      <c r="D5" s="287" t="s">
        <v>490</v>
      </c>
      <c r="E5" s="287" t="s">
        <v>496</v>
      </c>
      <c r="J5" s="35"/>
      <c r="K5" s="2"/>
      <c r="L5" s="44" t="s">
        <v>81</v>
      </c>
      <c r="M5" s="36"/>
    </row>
    <row r="6" spans="1:13" x14ac:dyDescent="0.25">
      <c r="A6" s="588" t="s">
        <v>11</v>
      </c>
      <c r="B6" s="589"/>
      <c r="C6" s="287" t="s">
        <v>503</v>
      </c>
      <c r="D6" s="287" t="s">
        <v>491</v>
      </c>
      <c r="E6" s="287" t="s">
        <v>497</v>
      </c>
      <c r="J6" s="35"/>
      <c r="K6" s="4"/>
      <c r="L6" s="44" t="s">
        <v>93</v>
      </c>
      <c r="M6" s="36"/>
    </row>
    <row r="7" spans="1:13" x14ac:dyDescent="0.25">
      <c r="A7" s="588" t="s">
        <v>12</v>
      </c>
      <c r="B7" s="589"/>
      <c r="C7" s="287" t="s">
        <v>504</v>
      </c>
      <c r="D7" s="287" t="s">
        <v>492</v>
      </c>
      <c r="E7" s="287" t="s">
        <v>501</v>
      </c>
      <c r="J7" s="35"/>
      <c r="K7" s="43"/>
      <c r="L7" s="44" t="s">
        <v>82</v>
      </c>
      <c r="M7" s="36"/>
    </row>
    <row r="8" spans="1:13" ht="15.75" thickBot="1" x14ac:dyDescent="0.3">
      <c r="A8" s="588" t="s">
        <v>13</v>
      </c>
      <c r="B8" s="589"/>
      <c r="C8" s="287" t="s">
        <v>505</v>
      </c>
      <c r="D8" s="287" t="s">
        <v>493</v>
      </c>
      <c r="E8" s="287" t="s">
        <v>498</v>
      </c>
      <c r="J8" s="37"/>
      <c r="K8" s="38"/>
      <c r="L8" s="38"/>
      <c r="M8" s="39"/>
    </row>
    <row r="9" spans="1:13" x14ac:dyDescent="0.25">
      <c r="A9" s="588" t="s">
        <v>14</v>
      </c>
      <c r="B9" s="589"/>
      <c r="C9" s="287" t="s">
        <v>506</v>
      </c>
      <c r="D9" s="287" t="s">
        <v>493</v>
      </c>
      <c r="E9" s="287" t="s">
        <v>498</v>
      </c>
    </row>
    <row r="10" spans="1:13" x14ac:dyDescent="0.25">
      <c r="A10" s="588" t="s">
        <v>15</v>
      </c>
      <c r="B10" s="589"/>
      <c r="C10" s="287" t="s">
        <v>507</v>
      </c>
      <c r="D10" s="287" t="s">
        <v>494</v>
      </c>
      <c r="E10" s="287" t="s">
        <v>499</v>
      </c>
    </row>
    <row r="11" spans="1:13" x14ac:dyDescent="0.25">
      <c r="A11" s="588" t="s">
        <v>16</v>
      </c>
      <c r="B11" s="589"/>
      <c r="C11" s="287" t="s">
        <v>508</v>
      </c>
      <c r="D11" s="287" t="s">
        <v>495</v>
      </c>
      <c r="E11" s="287" t="s">
        <v>500</v>
      </c>
    </row>
    <row r="12" spans="1:13" ht="15.75" x14ac:dyDescent="0.25">
      <c r="A12" s="25"/>
      <c r="B12" s="285"/>
      <c r="C12" s="20"/>
    </row>
    <row r="13" spans="1:13" x14ac:dyDescent="0.25">
      <c r="A13" s="288" t="s">
        <v>509</v>
      </c>
      <c r="B13" s="27"/>
      <c r="C13" s="27"/>
      <c r="D13" s="27"/>
      <c r="E13" s="27"/>
      <c r="F13" s="27"/>
      <c r="G13" s="27"/>
      <c r="H13" s="27"/>
      <c r="I13" s="27"/>
      <c r="J13" s="27"/>
      <c r="K13" s="27"/>
    </row>
    <row r="14" spans="1:13" x14ac:dyDescent="0.25">
      <c r="A14" s="288"/>
      <c r="B14" s="27"/>
      <c r="C14" s="27"/>
      <c r="D14" s="27"/>
      <c r="E14" s="27"/>
      <c r="F14" s="27"/>
      <c r="G14" s="27"/>
      <c r="H14" s="27"/>
      <c r="I14" s="27"/>
      <c r="J14" s="27"/>
      <c r="K14" s="27"/>
    </row>
    <row r="15" spans="1:13" x14ac:dyDescent="0.25">
      <c r="A15" s="288" t="s">
        <v>510</v>
      </c>
      <c r="B15" s="27"/>
      <c r="C15" s="27"/>
      <c r="D15" s="27"/>
      <c r="E15" s="27"/>
      <c r="F15" s="27"/>
      <c r="G15" s="27"/>
      <c r="H15" s="27"/>
      <c r="I15" s="27"/>
      <c r="J15" s="27"/>
      <c r="K15" s="27"/>
    </row>
    <row r="16" spans="1:13" x14ac:dyDescent="0.25">
      <c r="A16" s="288"/>
      <c r="B16" s="27"/>
      <c r="C16" s="27"/>
      <c r="D16" s="27"/>
      <c r="E16" s="27"/>
      <c r="F16" s="27"/>
      <c r="G16" s="27"/>
      <c r="H16" s="27"/>
      <c r="I16" s="27"/>
      <c r="J16" s="27"/>
      <c r="K16" s="27"/>
    </row>
    <row r="17" spans="1:12" x14ac:dyDescent="0.25">
      <c r="A17" s="565" t="s">
        <v>7</v>
      </c>
      <c r="B17" s="566"/>
      <c r="C17" s="569" t="s">
        <v>5</v>
      </c>
      <c r="D17" s="569"/>
      <c r="E17" s="569" t="s">
        <v>6</v>
      </c>
      <c r="F17" s="569"/>
    </row>
    <row r="18" spans="1:12" x14ac:dyDescent="0.25">
      <c r="A18" s="567"/>
      <c r="B18" s="568"/>
      <c r="C18" s="18" t="s">
        <v>8</v>
      </c>
      <c r="D18" s="18" t="s">
        <v>9</v>
      </c>
      <c r="E18" s="18" t="s">
        <v>919</v>
      </c>
      <c r="F18" s="18" t="s">
        <v>920</v>
      </c>
    </row>
    <row r="19" spans="1:12" ht="15" customHeight="1" x14ac:dyDescent="0.25">
      <c r="A19" s="570" t="s">
        <v>10</v>
      </c>
      <c r="B19" s="571"/>
      <c r="C19" s="175"/>
      <c r="D19" s="175"/>
      <c r="E19" s="175"/>
      <c r="F19" s="175"/>
    </row>
    <row r="20" spans="1:12" x14ac:dyDescent="0.25">
      <c r="A20" s="570" t="s">
        <v>11</v>
      </c>
      <c r="B20" s="571"/>
      <c r="C20" s="175"/>
      <c r="D20" s="175"/>
      <c r="E20" s="175"/>
      <c r="F20" s="175"/>
    </row>
    <row r="21" spans="1:12" x14ac:dyDescent="0.25">
      <c r="A21" s="570" t="s">
        <v>12</v>
      </c>
      <c r="B21" s="571"/>
      <c r="C21" s="175"/>
      <c r="D21" s="175"/>
      <c r="E21" s="175"/>
      <c r="F21" s="175"/>
    </row>
    <row r="22" spans="1:12" x14ac:dyDescent="0.25">
      <c r="A22" s="570" t="s">
        <v>13</v>
      </c>
      <c r="B22" s="571"/>
      <c r="C22" s="175">
        <v>12</v>
      </c>
      <c r="D22" s="175"/>
      <c r="E22" s="175"/>
      <c r="F22" s="175">
        <v>2</v>
      </c>
    </row>
    <row r="23" spans="1:12" x14ac:dyDescent="0.25">
      <c r="A23" s="570" t="s">
        <v>14</v>
      </c>
      <c r="B23" s="571"/>
      <c r="C23" s="175"/>
      <c r="D23" s="175"/>
      <c r="E23" s="175"/>
      <c r="F23" s="175"/>
    </row>
    <row r="24" spans="1:12" x14ac:dyDescent="0.25">
      <c r="A24" s="570" t="s">
        <v>15</v>
      </c>
      <c r="B24" s="571"/>
      <c r="C24" s="175"/>
      <c r="D24" s="175"/>
      <c r="E24" s="175"/>
      <c r="F24" s="175"/>
    </row>
    <row r="25" spans="1:12" x14ac:dyDescent="0.25">
      <c r="A25" s="570" t="s">
        <v>16</v>
      </c>
      <c r="B25" s="571"/>
      <c r="C25" s="175"/>
      <c r="D25" s="175"/>
      <c r="E25" s="175"/>
      <c r="F25" s="175"/>
      <c r="G25" s="61"/>
    </row>
    <row r="27" spans="1:12" x14ac:dyDescent="0.25">
      <c r="A27" s="288" t="s">
        <v>511</v>
      </c>
      <c r="B27" s="27"/>
    </row>
    <row r="28" spans="1:12" x14ac:dyDescent="0.25">
      <c r="A28" s="288"/>
      <c r="B28" s="27"/>
    </row>
    <row r="29" spans="1:12" x14ac:dyDescent="0.25">
      <c r="A29" s="565" t="s">
        <v>7</v>
      </c>
      <c r="B29" s="566"/>
      <c r="C29" s="583"/>
      <c r="D29" s="572" t="s">
        <v>119</v>
      </c>
      <c r="E29" s="586" t="s">
        <v>5</v>
      </c>
      <c r="F29" s="587"/>
      <c r="G29" s="586" t="s">
        <v>6</v>
      </c>
      <c r="H29" s="587"/>
    </row>
    <row r="30" spans="1:12" x14ac:dyDescent="0.25">
      <c r="A30" s="567"/>
      <c r="B30" s="568"/>
      <c r="C30" s="584"/>
      <c r="D30" s="573"/>
      <c r="E30" s="18" t="s">
        <v>8</v>
      </c>
      <c r="F30" s="18" t="s">
        <v>9</v>
      </c>
      <c r="G30" s="18" t="s">
        <v>8</v>
      </c>
      <c r="H30" s="18" t="s">
        <v>9</v>
      </c>
    </row>
    <row r="31" spans="1:12" x14ac:dyDescent="0.25">
      <c r="A31" s="556" t="s">
        <v>127</v>
      </c>
      <c r="B31" s="557"/>
      <c r="C31" s="558"/>
      <c r="D31" s="57">
        <v>0</v>
      </c>
      <c r="E31" s="175"/>
      <c r="F31" s="175"/>
      <c r="G31" s="175"/>
      <c r="H31" s="175"/>
      <c r="L31" s="61"/>
    </row>
    <row r="32" spans="1:12" x14ac:dyDescent="0.25">
      <c r="A32" s="559"/>
      <c r="B32" s="560"/>
      <c r="C32" s="561"/>
      <c r="D32" s="56">
        <v>1</v>
      </c>
      <c r="E32" s="175"/>
      <c r="F32" s="175"/>
      <c r="G32" s="175"/>
      <c r="H32" s="175"/>
    </row>
    <row r="33" spans="1:8" x14ac:dyDescent="0.25">
      <c r="A33" s="559"/>
      <c r="B33" s="560"/>
      <c r="C33" s="561"/>
      <c r="D33" s="56">
        <v>2</v>
      </c>
      <c r="E33" s="175"/>
      <c r="F33" s="175"/>
      <c r="G33" s="175"/>
      <c r="H33" s="175"/>
    </row>
    <row r="34" spans="1:8" x14ac:dyDescent="0.25">
      <c r="A34" s="559"/>
      <c r="B34" s="560"/>
      <c r="C34" s="561"/>
      <c r="D34" s="56">
        <v>3</v>
      </c>
      <c r="E34" s="175"/>
      <c r="F34" s="175"/>
      <c r="G34" s="175"/>
      <c r="H34" s="175"/>
    </row>
    <row r="35" spans="1:8" x14ac:dyDescent="0.25">
      <c r="A35" s="559"/>
      <c r="B35" s="560"/>
      <c r="C35" s="561"/>
      <c r="D35" s="56">
        <v>4</v>
      </c>
      <c r="E35" s="175"/>
      <c r="F35" s="175"/>
      <c r="G35" s="175"/>
      <c r="H35" s="175"/>
    </row>
    <row r="36" spans="1:8" x14ac:dyDescent="0.25">
      <c r="A36" s="562"/>
      <c r="B36" s="563"/>
      <c r="C36" s="564"/>
      <c r="D36" s="56">
        <v>5</v>
      </c>
      <c r="E36" s="175"/>
      <c r="F36" s="175"/>
      <c r="G36" s="175"/>
      <c r="H36" s="175"/>
    </row>
    <row r="37" spans="1:8" x14ac:dyDescent="0.25">
      <c r="A37" s="556" t="s">
        <v>11</v>
      </c>
      <c r="B37" s="557"/>
      <c r="C37" s="558"/>
      <c r="D37" s="56">
        <v>0</v>
      </c>
      <c r="E37" s="175"/>
      <c r="F37" s="175"/>
      <c r="G37" s="175"/>
      <c r="H37" s="175"/>
    </row>
    <row r="38" spans="1:8" x14ac:dyDescent="0.25">
      <c r="A38" s="559"/>
      <c r="B38" s="560"/>
      <c r="C38" s="561"/>
      <c r="D38" s="56">
        <v>1</v>
      </c>
      <c r="E38" s="175"/>
      <c r="F38" s="175"/>
      <c r="G38" s="175"/>
      <c r="H38" s="175"/>
    </row>
    <row r="39" spans="1:8" x14ac:dyDescent="0.25">
      <c r="A39" s="559"/>
      <c r="B39" s="560"/>
      <c r="C39" s="561"/>
      <c r="D39" s="56">
        <v>2</v>
      </c>
      <c r="E39" s="175"/>
      <c r="F39" s="175"/>
      <c r="G39" s="175"/>
      <c r="H39" s="175"/>
    </row>
    <row r="40" spans="1:8" x14ac:dyDescent="0.25">
      <c r="A40" s="559"/>
      <c r="B40" s="560"/>
      <c r="C40" s="561"/>
      <c r="D40" s="56">
        <v>3</v>
      </c>
      <c r="E40" s="175"/>
      <c r="F40" s="175"/>
      <c r="G40" s="175"/>
      <c r="H40" s="175"/>
    </row>
    <row r="41" spans="1:8" x14ac:dyDescent="0.25">
      <c r="A41" s="559"/>
      <c r="B41" s="560"/>
      <c r="C41" s="561"/>
      <c r="D41" s="56">
        <v>4</v>
      </c>
      <c r="E41" s="175"/>
      <c r="F41" s="175"/>
      <c r="G41" s="175"/>
      <c r="H41" s="175"/>
    </row>
    <row r="42" spans="1:8" x14ac:dyDescent="0.25">
      <c r="A42" s="562"/>
      <c r="B42" s="563"/>
      <c r="C42" s="564"/>
      <c r="D42" s="56">
        <v>5</v>
      </c>
      <c r="E42" s="175"/>
      <c r="F42" s="175"/>
      <c r="G42" s="175"/>
      <c r="H42" s="175"/>
    </row>
    <row r="43" spans="1:8" x14ac:dyDescent="0.25">
      <c r="A43" s="556" t="s">
        <v>12</v>
      </c>
      <c r="B43" s="557"/>
      <c r="C43" s="558"/>
      <c r="D43" s="56">
        <v>0</v>
      </c>
      <c r="E43" s="175"/>
      <c r="F43" s="175"/>
      <c r="G43" s="175"/>
      <c r="H43" s="175"/>
    </row>
    <row r="44" spans="1:8" x14ac:dyDescent="0.25">
      <c r="A44" s="559"/>
      <c r="B44" s="560"/>
      <c r="C44" s="561"/>
      <c r="D44" s="56">
        <v>1</v>
      </c>
      <c r="E44" s="175"/>
      <c r="F44" s="175"/>
      <c r="G44" s="175"/>
      <c r="H44" s="175"/>
    </row>
    <row r="45" spans="1:8" x14ac:dyDescent="0.25">
      <c r="A45" s="559"/>
      <c r="B45" s="560"/>
      <c r="C45" s="561"/>
      <c r="D45" s="56">
        <v>2</v>
      </c>
      <c r="E45" s="175"/>
      <c r="F45" s="175"/>
      <c r="G45" s="175"/>
      <c r="H45" s="175"/>
    </row>
    <row r="46" spans="1:8" x14ac:dyDescent="0.25">
      <c r="A46" s="559"/>
      <c r="B46" s="560"/>
      <c r="C46" s="561"/>
      <c r="D46" s="56">
        <v>3</v>
      </c>
      <c r="E46" s="175"/>
      <c r="F46" s="175"/>
      <c r="G46" s="175"/>
      <c r="H46" s="175"/>
    </row>
    <row r="47" spans="1:8" x14ac:dyDescent="0.25">
      <c r="A47" s="559"/>
      <c r="B47" s="560"/>
      <c r="C47" s="561"/>
      <c r="D47" s="56">
        <v>4</v>
      </c>
      <c r="E47" s="175"/>
      <c r="F47" s="175"/>
      <c r="G47" s="175"/>
      <c r="H47" s="175"/>
    </row>
    <row r="48" spans="1:8" x14ac:dyDescent="0.25">
      <c r="A48" s="559"/>
      <c r="B48" s="560"/>
      <c r="C48" s="561"/>
      <c r="D48" s="56">
        <v>5</v>
      </c>
      <c r="E48" s="175"/>
      <c r="F48" s="175"/>
      <c r="G48" s="175"/>
      <c r="H48" s="175"/>
    </row>
    <row r="49" spans="1:8" x14ac:dyDescent="0.25">
      <c r="A49" s="559"/>
      <c r="B49" s="560"/>
      <c r="C49" s="561"/>
      <c r="D49" s="56">
        <v>6</v>
      </c>
      <c r="E49" s="175"/>
      <c r="F49" s="175"/>
      <c r="G49" s="175"/>
      <c r="H49" s="175"/>
    </row>
    <row r="50" spans="1:8" x14ac:dyDescent="0.25">
      <c r="A50" s="559"/>
      <c r="B50" s="560"/>
      <c r="C50" s="561"/>
      <c r="D50" s="56">
        <v>7</v>
      </c>
      <c r="E50" s="175"/>
      <c r="F50" s="175"/>
      <c r="G50" s="175"/>
      <c r="H50" s="175"/>
    </row>
    <row r="51" spans="1:8" x14ac:dyDescent="0.25">
      <c r="A51" s="562"/>
      <c r="B51" s="563"/>
      <c r="C51" s="564"/>
      <c r="D51" s="56">
        <v>8</v>
      </c>
      <c r="E51" s="175"/>
      <c r="F51" s="175"/>
      <c r="G51" s="175"/>
      <c r="H51" s="175"/>
    </row>
    <row r="52" spans="1:8" x14ac:dyDescent="0.25">
      <c r="A52" s="574" t="s">
        <v>13</v>
      </c>
      <c r="B52" s="575"/>
      <c r="C52" s="576"/>
      <c r="D52" s="464">
        <v>0</v>
      </c>
      <c r="E52" s="465"/>
      <c r="F52" s="175"/>
      <c r="G52" s="175"/>
      <c r="H52" s="175"/>
    </row>
    <row r="53" spans="1:8" x14ac:dyDescent="0.25">
      <c r="A53" s="577"/>
      <c r="B53" s="578"/>
      <c r="C53" s="579"/>
      <c r="D53" s="464">
        <v>1</v>
      </c>
      <c r="E53" s="465"/>
      <c r="F53" s="175"/>
      <c r="G53" s="175"/>
      <c r="H53" s="175"/>
    </row>
    <row r="54" spans="1:8" x14ac:dyDescent="0.25">
      <c r="A54" s="577"/>
      <c r="B54" s="578"/>
      <c r="C54" s="579"/>
      <c r="D54" s="464">
        <v>2</v>
      </c>
      <c r="E54" s="465"/>
      <c r="F54" s="175"/>
      <c r="G54" s="175"/>
      <c r="H54" s="175"/>
    </row>
    <row r="55" spans="1:8" x14ac:dyDescent="0.25">
      <c r="A55" s="577"/>
      <c r="B55" s="578"/>
      <c r="C55" s="579"/>
      <c r="D55" s="464">
        <v>3</v>
      </c>
      <c r="E55" s="465"/>
      <c r="F55" s="175"/>
      <c r="G55" s="175"/>
      <c r="H55" s="175"/>
    </row>
    <row r="56" spans="1:8" x14ac:dyDescent="0.25">
      <c r="A56" s="577"/>
      <c r="B56" s="578"/>
      <c r="C56" s="579"/>
      <c r="D56" s="464">
        <v>4</v>
      </c>
      <c r="E56" s="465"/>
      <c r="F56" s="175"/>
      <c r="G56" s="175"/>
      <c r="H56" s="175"/>
    </row>
    <row r="57" spans="1:8" x14ac:dyDescent="0.25">
      <c r="A57" s="577"/>
      <c r="B57" s="578"/>
      <c r="C57" s="579"/>
      <c r="D57" s="464">
        <v>5</v>
      </c>
      <c r="E57" s="465">
        <v>2</v>
      </c>
      <c r="F57" s="175"/>
      <c r="G57" s="175"/>
      <c r="H57" s="175"/>
    </row>
    <row r="58" spans="1:8" x14ac:dyDescent="0.25">
      <c r="A58" s="577"/>
      <c r="B58" s="578"/>
      <c r="C58" s="579"/>
      <c r="D58" s="464">
        <v>6</v>
      </c>
      <c r="E58" s="465"/>
      <c r="F58" s="175"/>
      <c r="G58" s="175">
        <v>2</v>
      </c>
      <c r="H58" s="175"/>
    </row>
    <row r="59" spans="1:8" x14ac:dyDescent="0.25">
      <c r="A59" s="577"/>
      <c r="B59" s="578"/>
      <c r="C59" s="579"/>
      <c r="D59" s="464">
        <v>7</v>
      </c>
      <c r="E59" s="465"/>
      <c r="F59" s="175"/>
      <c r="G59" s="175"/>
      <c r="H59" s="175"/>
    </row>
    <row r="60" spans="1:8" x14ac:dyDescent="0.25">
      <c r="A60" s="580"/>
      <c r="B60" s="581"/>
      <c r="C60" s="582"/>
      <c r="D60" s="464" t="s">
        <v>921</v>
      </c>
      <c r="E60" s="465">
        <v>12</v>
      </c>
      <c r="F60" s="175"/>
      <c r="G60" s="175"/>
      <c r="H60" s="175"/>
    </row>
    <row r="61" spans="1:8" x14ac:dyDescent="0.25">
      <c r="A61" s="556" t="s">
        <v>14</v>
      </c>
      <c r="B61" s="557"/>
      <c r="C61" s="558"/>
      <c r="D61" s="56">
        <v>0</v>
      </c>
      <c r="E61" s="175"/>
      <c r="F61" s="175"/>
      <c r="G61" s="175"/>
      <c r="H61" s="175"/>
    </row>
    <row r="62" spans="1:8" x14ac:dyDescent="0.25">
      <c r="A62" s="559"/>
      <c r="B62" s="560"/>
      <c r="C62" s="561"/>
      <c r="D62" s="56">
        <v>1</v>
      </c>
      <c r="E62" s="175"/>
      <c r="F62" s="175"/>
      <c r="G62" s="175"/>
      <c r="H62" s="175"/>
    </row>
    <row r="63" spans="1:8" x14ac:dyDescent="0.25">
      <c r="A63" s="559"/>
      <c r="B63" s="560"/>
      <c r="C63" s="561"/>
      <c r="D63" s="56">
        <v>2</v>
      </c>
      <c r="E63" s="175"/>
      <c r="F63" s="175"/>
      <c r="G63" s="175"/>
      <c r="H63" s="175"/>
    </row>
    <row r="64" spans="1:8" x14ac:dyDescent="0.25">
      <c r="A64" s="559"/>
      <c r="B64" s="560"/>
      <c r="C64" s="561"/>
      <c r="D64" s="56">
        <v>3</v>
      </c>
      <c r="E64" s="175"/>
      <c r="F64" s="175"/>
      <c r="G64" s="175"/>
      <c r="H64" s="175"/>
    </row>
    <row r="65" spans="1:8" x14ac:dyDescent="0.25">
      <c r="A65" s="559"/>
      <c r="B65" s="560"/>
      <c r="C65" s="561"/>
      <c r="D65" s="56">
        <v>4</v>
      </c>
      <c r="E65" s="175"/>
      <c r="F65" s="175"/>
      <c r="G65" s="175"/>
      <c r="H65" s="175"/>
    </row>
    <row r="66" spans="1:8" x14ac:dyDescent="0.25">
      <c r="A66" s="559"/>
      <c r="B66" s="560"/>
      <c r="C66" s="561"/>
      <c r="D66" s="56">
        <v>5</v>
      </c>
      <c r="E66" s="175"/>
      <c r="F66" s="175"/>
      <c r="G66" s="175"/>
      <c r="H66" s="175"/>
    </row>
    <row r="67" spans="1:8" x14ac:dyDescent="0.25">
      <c r="A67" s="559"/>
      <c r="B67" s="560"/>
      <c r="C67" s="561"/>
      <c r="D67" s="56">
        <v>6</v>
      </c>
      <c r="E67" s="175"/>
      <c r="F67" s="175"/>
      <c r="G67" s="175"/>
      <c r="H67" s="175"/>
    </row>
    <row r="68" spans="1:8" x14ac:dyDescent="0.25">
      <c r="A68" s="559"/>
      <c r="B68" s="560"/>
      <c r="C68" s="561"/>
      <c r="D68" s="56">
        <v>7</v>
      </c>
      <c r="E68" s="175"/>
      <c r="F68" s="175"/>
      <c r="G68" s="175"/>
      <c r="H68" s="175"/>
    </row>
    <row r="69" spans="1:8" x14ac:dyDescent="0.25">
      <c r="A69" s="559"/>
      <c r="B69" s="560"/>
      <c r="C69" s="561"/>
      <c r="D69" s="56">
        <v>8</v>
      </c>
      <c r="E69" s="175"/>
      <c r="F69" s="175"/>
      <c r="G69" s="175"/>
      <c r="H69" s="175"/>
    </row>
    <row r="70" spans="1:8" x14ac:dyDescent="0.25">
      <c r="A70" s="559"/>
      <c r="B70" s="560"/>
      <c r="C70" s="561"/>
      <c r="D70" s="56">
        <v>9</v>
      </c>
      <c r="E70" s="175"/>
      <c r="F70" s="175"/>
      <c r="G70" s="175"/>
      <c r="H70" s="175"/>
    </row>
    <row r="71" spans="1:8" x14ac:dyDescent="0.25">
      <c r="A71" s="562"/>
      <c r="B71" s="563"/>
      <c r="C71" s="564"/>
      <c r="D71" s="56">
        <v>10</v>
      </c>
      <c r="E71" s="175"/>
      <c r="F71" s="175"/>
      <c r="G71" s="175"/>
      <c r="H71" s="175"/>
    </row>
    <row r="72" spans="1:8" x14ac:dyDescent="0.25">
      <c r="A72" s="556" t="s">
        <v>15</v>
      </c>
      <c r="B72" s="557"/>
      <c r="C72" s="558"/>
      <c r="D72" s="56">
        <v>0</v>
      </c>
      <c r="E72" s="175"/>
      <c r="F72" s="175"/>
      <c r="G72" s="175"/>
      <c r="H72" s="175"/>
    </row>
    <row r="73" spans="1:8" x14ac:dyDescent="0.25">
      <c r="A73" s="559"/>
      <c r="B73" s="560"/>
      <c r="C73" s="561"/>
      <c r="D73" s="56">
        <v>1</v>
      </c>
      <c r="E73" s="175"/>
      <c r="F73" s="175"/>
      <c r="G73" s="175"/>
      <c r="H73" s="175"/>
    </row>
    <row r="74" spans="1:8" x14ac:dyDescent="0.25">
      <c r="A74" s="559"/>
      <c r="B74" s="560"/>
      <c r="C74" s="561"/>
      <c r="D74" s="56">
        <v>2</v>
      </c>
      <c r="E74" s="175"/>
      <c r="F74" s="175"/>
      <c r="G74" s="175"/>
      <c r="H74" s="175"/>
    </row>
    <row r="75" spans="1:8" x14ac:dyDescent="0.25">
      <c r="A75" s="559"/>
      <c r="B75" s="560"/>
      <c r="C75" s="561"/>
      <c r="D75" s="56">
        <v>3</v>
      </c>
      <c r="E75" s="175"/>
      <c r="F75" s="175"/>
      <c r="G75" s="175"/>
      <c r="H75" s="175"/>
    </row>
    <row r="76" spans="1:8" x14ac:dyDescent="0.25">
      <c r="A76" s="559"/>
      <c r="B76" s="560"/>
      <c r="C76" s="561"/>
      <c r="D76" s="56">
        <v>4</v>
      </c>
      <c r="E76" s="175"/>
      <c r="F76" s="175"/>
      <c r="G76" s="175"/>
      <c r="H76" s="175"/>
    </row>
    <row r="77" spans="1:8" x14ac:dyDescent="0.25">
      <c r="A77" s="559"/>
      <c r="B77" s="560"/>
      <c r="C77" s="561"/>
      <c r="D77" s="56">
        <v>5</v>
      </c>
      <c r="E77" s="175"/>
      <c r="F77" s="175"/>
      <c r="G77" s="175"/>
      <c r="H77" s="175"/>
    </row>
    <row r="78" spans="1:8" x14ac:dyDescent="0.25">
      <c r="A78" s="559"/>
      <c r="B78" s="560"/>
      <c r="C78" s="561"/>
      <c r="D78" s="56">
        <v>6</v>
      </c>
      <c r="E78" s="175"/>
      <c r="F78" s="175"/>
      <c r="G78" s="175"/>
      <c r="H78" s="175"/>
    </row>
    <row r="79" spans="1:8" x14ac:dyDescent="0.25">
      <c r="A79" s="559"/>
      <c r="B79" s="560"/>
      <c r="C79" s="561"/>
      <c r="D79" s="56">
        <v>7</v>
      </c>
      <c r="E79" s="175"/>
      <c r="F79" s="175"/>
      <c r="G79" s="175"/>
      <c r="H79" s="175"/>
    </row>
    <row r="80" spans="1:8" x14ac:dyDescent="0.25">
      <c r="A80" s="559"/>
      <c r="B80" s="560"/>
      <c r="C80" s="561"/>
      <c r="D80" s="56">
        <v>8</v>
      </c>
      <c r="E80" s="175"/>
      <c r="F80" s="175"/>
      <c r="G80" s="175"/>
      <c r="H80" s="175"/>
    </row>
    <row r="81" spans="1:8" x14ac:dyDescent="0.25">
      <c r="A81" s="559"/>
      <c r="B81" s="560"/>
      <c r="C81" s="561"/>
      <c r="D81" s="56">
        <v>9</v>
      </c>
      <c r="E81" s="175"/>
      <c r="F81" s="175"/>
      <c r="G81" s="175"/>
      <c r="H81" s="175"/>
    </row>
    <row r="82" spans="1:8" x14ac:dyDescent="0.25">
      <c r="A82" s="559"/>
      <c r="B82" s="560"/>
      <c r="C82" s="561"/>
      <c r="D82" s="56">
        <v>10</v>
      </c>
      <c r="E82" s="175"/>
      <c r="F82" s="175"/>
      <c r="G82" s="175"/>
      <c r="H82" s="175"/>
    </row>
    <row r="83" spans="1:8" x14ac:dyDescent="0.25">
      <c r="A83" s="559"/>
      <c r="B83" s="560"/>
      <c r="C83" s="561"/>
      <c r="D83" s="56">
        <v>11</v>
      </c>
      <c r="E83" s="175"/>
      <c r="F83" s="175"/>
      <c r="G83" s="175"/>
      <c r="H83" s="175"/>
    </row>
    <row r="84" spans="1:8" x14ac:dyDescent="0.25">
      <c r="A84" s="562"/>
      <c r="B84" s="563"/>
      <c r="C84" s="564"/>
      <c r="D84" s="56">
        <v>12</v>
      </c>
      <c r="E84" s="175"/>
      <c r="F84" s="175"/>
      <c r="G84" s="175"/>
      <c r="H84" s="175"/>
    </row>
    <row r="85" spans="1:8" x14ac:dyDescent="0.25">
      <c r="A85" s="555" t="s">
        <v>16</v>
      </c>
      <c r="B85" s="555"/>
      <c r="C85" s="555"/>
      <c r="D85" s="56">
        <v>0</v>
      </c>
      <c r="E85" s="175"/>
      <c r="F85" s="175"/>
      <c r="G85" s="175"/>
      <c r="H85" s="175"/>
    </row>
    <row r="86" spans="1:8" x14ac:dyDescent="0.25">
      <c r="A86" s="555"/>
      <c r="B86" s="555"/>
      <c r="C86" s="555"/>
      <c r="D86" s="56">
        <v>1</v>
      </c>
      <c r="E86" s="175"/>
      <c r="F86" s="175"/>
      <c r="G86" s="175"/>
      <c r="H86" s="175"/>
    </row>
    <row r="87" spans="1:8" x14ac:dyDescent="0.25">
      <c r="A87" s="555"/>
      <c r="B87" s="555"/>
      <c r="C87" s="555"/>
      <c r="D87" s="56">
        <v>2</v>
      </c>
      <c r="E87" s="175"/>
      <c r="F87" s="175"/>
      <c r="G87" s="175"/>
      <c r="H87" s="175"/>
    </row>
    <row r="88" spans="1:8" x14ac:dyDescent="0.25">
      <c r="A88" s="555"/>
      <c r="B88" s="555"/>
      <c r="C88" s="555"/>
      <c r="D88" s="56">
        <v>3</v>
      </c>
      <c r="E88" s="175"/>
      <c r="F88" s="175"/>
      <c r="G88" s="175"/>
      <c r="H88" s="175"/>
    </row>
    <row r="89" spans="1:8" x14ac:dyDescent="0.25">
      <c r="A89" s="555"/>
      <c r="B89" s="555"/>
      <c r="C89" s="555"/>
      <c r="D89" s="56">
        <v>4</v>
      </c>
      <c r="E89" s="175"/>
      <c r="F89" s="175"/>
      <c r="G89" s="175"/>
      <c r="H89" s="175"/>
    </row>
    <row r="90" spans="1:8" x14ac:dyDescent="0.25">
      <c r="A90" s="555"/>
      <c r="B90" s="555"/>
      <c r="C90" s="555"/>
      <c r="D90" s="56">
        <v>5</v>
      </c>
      <c r="E90" s="175"/>
      <c r="F90" s="175"/>
      <c r="G90" s="175"/>
      <c r="H90" s="175"/>
    </row>
    <row r="91" spans="1:8" x14ac:dyDescent="0.25">
      <c r="A91" s="555"/>
      <c r="B91" s="555"/>
      <c r="C91" s="555"/>
      <c r="D91" s="56">
        <v>6</v>
      </c>
      <c r="E91" s="175"/>
      <c r="F91" s="175"/>
      <c r="G91" s="175"/>
      <c r="H91" s="175"/>
    </row>
    <row r="92" spans="1:8" x14ac:dyDescent="0.25">
      <c r="A92" s="555"/>
      <c r="B92" s="555"/>
      <c r="C92" s="555"/>
      <c r="D92" s="56">
        <v>7</v>
      </c>
      <c r="E92" s="175"/>
      <c r="F92" s="175"/>
      <c r="G92" s="175"/>
      <c r="H92" s="175"/>
    </row>
    <row r="93" spans="1:8" x14ac:dyDescent="0.25">
      <c r="A93" s="555"/>
      <c r="B93" s="555"/>
      <c r="C93" s="555"/>
      <c r="D93" s="56">
        <v>8</v>
      </c>
      <c r="E93" s="175"/>
      <c r="F93" s="175"/>
      <c r="G93" s="175"/>
      <c r="H93" s="175"/>
    </row>
    <row r="94" spans="1:8" x14ac:dyDescent="0.25">
      <c r="A94" s="555"/>
      <c r="B94" s="555"/>
      <c r="C94" s="555"/>
      <c r="D94" s="56">
        <v>9</v>
      </c>
      <c r="E94" s="175"/>
      <c r="F94" s="175"/>
      <c r="G94" s="175"/>
      <c r="H94" s="175"/>
    </row>
    <row r="95" spans="1:8" x14ac:dyDescent="0.25">
      <c r="A95" s="555"/>
      <c r="B95" s="555"/>
      <c r="C95" s="555"/>
      <c r="D95" s="56">
        <v>10</v>
      </c>
      <c r="E95" s="175"/>
      <c r="F95" s="175"/>
      <c r="G95" s="175"/>
      <c r="H95" s="175"/>
    </row>
    <row r="96" spans="1:8" x14ac:dyDescent="0.25">
      <c r="A96" s="555"/>
      <c r="B96" s="555"/>
      <c r="C96" s="555"/>
      <c r="D96" s="56">
        <v>11</v>
      </c>
      <c r="E96" s="175"/>
      <c r="F96" s="175"/>
      <c r="G96" s="175"/>
      <c r="H96" s="175"/>
    </row>
    <row r="97" spans="1:8" x14ac:dyDescent="0.25">
      <c r="A97" s="555"/>
      <c r="B97" s="555"/>
      <c r="C97" s="555"/>
      <c r="D97" s="56">
        <v>12</v>
      </c>
      <c r="E97" s="175"/>
      <c r="F97" s="175"/>
      <c r="G97" s="175"/>
      <c r="H97" s="175"/>
    </row>
    <row r="99" spans="1:8" x14ac:dyDescent="0.25">
      <c r="A99" s="288" t="s">
        <v>512</v>
      </c>
    </row>
    <row r="101" spans="1:8" x14ac:dyDescent="0.25">
      <c r="A101" s="569" t="s">
        <v>392</v>
      </c>
      <c r="B101" s="569"/>
      <c r="C101" s="569" t="s">
        <v>234</v>
      </c>
    </row>
    <row r="102" spans="1:8" x14ac:dyDescent="0.25">
      <c r="A102" s="569"/>
      <c r="B102" s="569"/>
      <c r="C102" s="569"/>
    </row>
    <row r="103" spans="1:8" x14ac:dyDescent="0.25">
      <c r="A103" s="585" t="s">
        <v>393</v>
      </c>
      <c r="B103" s="585"/>
      <c r="C103" s="175"/>
    </row>
    <row r="104" spans="1:8" x14ac:dyDescent="0.25">
      <c r="A104" s="585" t="s">
        <v>394</v>
      </c>
      <c r="B104" s="585"/>
      <c r="C104" s="175"/>
    </row>
    <row r="105" spans="1:8" x14ac:dyDescent="0.25">
      <c r="A105" s="585" t="s">
        <v>395</v>
      </c>
      <c r="B105" s="585"/>
      <c r="C105" s="175">
        <v>1</v>
      </c>
    </row>
    <row r="106" spans="1:8" x14ac:dyDescent="0.25">
      <c r="A106" s="585" t="s">
        <v>396</v>
      </c>
      <c r="B106" s="585"/>
      <c r="C106" s="175">
        <v>1</v>
      </c>
    </row>
    <row r="107" spans="1:8" x14ac:dyDescent="0.25">
      <c r="A107" s="585" t="s">
        <v>397</v>
      </c>
      <c r="B107" s="585"/>
      <c r="C107" s="175"/>
    </row>
    <row r="110" spans="1:8" ht="21" customHeight="1" x14ac:dyDescent="0.25"/>
    <row r="113" spans="1:2" x14ac:dyDescent="0.25">
      <c r="A113" s="73"/>
      <c r="B113" s="27"/>
    </row>
    <row r="137" ht="15" customHeight="1" x14ac:dyDescent="0.25"/>
  </sheetData>
  <mergeCells count="38">
    <mergeCell ref="E29:F29"/>
    <mergeCell ref="A25:B25"/>
    <mergeCell ref="A10:B10"/>
    <mergeCell ref="A1:K1"/>
    <mergeCell ref="A5:B5"/>
    <mergeCell ref="A6:B6"/>
    <mergeCell ref="A7:B7"/>
    <mergeCell ref="A8:B8"/>
    <mergeCell ref="J3:M3"/>
    <mergeCell ref="C3:E3"/>
    <mergeCell ref="A9:B9"/>
    <mergeCell ref="A19:B19"/>
    <mergeCell ref="G29:H29"/>
    <mergeCell ref="A11:B11"/>
    <mergeCell ref="A23:B23"/>
    <mergeCell ref="E17:F17"/>
    <mergeCell ref="A107:B107"/>
    <mergeCell ref="C101:C102"/>
    <mergeCell ref="A101:B102"/>
    <mergeCell ref="A103:B103"/>
    <mergeCell ref="A104:B104"/>
    <mergeCell ref="A105:B105"/>
    <mergeCell ref="A106:B106"/>
    <mergeCell ref="A85:C97"/>
    <mergeCell ref="A72:C84"/>
    <mergeCell ref="A17:B18"/>
    <mergeCell ref="C17:D17"/>
    <mergeCell ref="A20:B20"/>
    <mergeCell ref="A21:B21"/>
    <mergeCell ref="D29:D30"/>
    <mergeCell ref="A61:C71"/>
    <mergeCell ref="A31:C36"/>
    <mergeCell ref="A37:C42"/>
    <mergeCell ref="A22:B22"/>
    <mergeCell ref="A24:B24"/>
    <mergeCell ref="A52:C60"/>
    <mergeCell ref="A43:C51"/>
    <mergeCell ref="A29:C30"/>
  </mergeCells>
  <phoneticPr fontId="0" type="noConversion"/>
  <pageMargins left="0.78740157499999996" right="0.78740157499999996" top="0.984251969" bottom="0.984251969" header="0.49212598499999999" footer="0.49212598499999999"/>
  <pageSetup paperSize="9" scale="2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Planilha40">
    <tabColor theme="6" tint="0.39997558519241921"/>
  </sheetPr>
  <dimension ref="A1:N20"/>
  <sheetViews>
    <sheetView topLeftCell="A4" workbookViewId="0">
      <selection activeCell="B8" sqref="B8:H20"/>
    </sheetView>
  </sheetViews>
  <sheetFormatPr defaultRowHeight="12.75" x14ac:dyDescent="0.2"/>
  <cols>
    <col min="1" max="1" width="6.28515625" customWidth="1"/>
    <col min="2" max="2" width="17.28515625" customWidth="1"/>
    <col min="3" max="3" width="8.140625" bestFit="1" customWidth="1"/>
  </cols>
  <sheetData>
    <row r="1" spans="1:14" x14ac:dyDescent="0.2">
      <c r="A1" s="468" t="s">
        <v>726</v>
      </c>
    </row>
    <row r="3" spans="1:14" ht="13.5" thickBot="1" x14ac:dyDescent="0.25"/>
    <row r="4" spans="1:14" ht="15.75" thickBot="1" x14ac:dyDescent="0.3">
      <c r="A4" s="22" t="s">
        <v>727</v>
      </c>
      <c r="B4" s="27" t="s">
        <v>405</v>
      </c>
      <c r="K4" s="518" t="s">
        <v>83</v>
      </c>
      <c r="L4" s="519"/>
      <c r="M4" s="519"/>
      <c r="N4" s="520"/>
    </row>
    <row r="5" spans="1:14" ht="15" x14ac:dyDescent="0.25">
      <c r="K5" s="33"/>
      <c r="L5" s="64"/>
      <c r="M5" s="64"/>
      <c r="N5" s="34"/>
    </row>
    <row r="6" spans="1:14" ht="15" x14ac:dyDescent="0.25">
      <c r="B6" s="190"/>
      <c r="C6" s="190"/>
      <c r="D6" s="841" t="s">
        <v>403</v>
      </c>
      <c r="E6" s="842"/>
      <c r="F6" s="842"/>
      <c r="G6" s="842"/>
      <c r="H6" s="843"/>
      <c r="K6" s="35"/>
      <c r="L6" s="2"/>
      <c r="M6" s="44" t="s">
        <v>81</v>
      </c>
      <c r="N6" s="36"/>
    </row>
    <row r="7" spans="1:14" ht="15" x14ac:dyDescent="0.25">
      <c r="B7" s="190"/>
      <c r="C7" s="190"/>
      <c r="D7" s="258">
        <v>0.25</v>
      </c>
      <c r="E7" s="258">
        <v>0.27777777777777779</v>
      </c>
      <c r="F7" s="258">
        <v>0.30555555555555552</v>
      </c>
      <c r="G7" s="258">
        <v>0.31944444444444448</v>
      </c>
      <c r="H7" s="258">
        <v>0.33333333333333331</v>
      </c>
      <c r="K7" s="35"/>
      <c r="L7" s="4"/>
      <c r="M7" s="44" t="s">
        <v>93</v>
      </c>
      <c r="N7" s="36"/>
    </row>
    <row r="8" spans="1:14" ht="15" x14ac:dyDescent="0.25">
      <c r="B8" s="838" t="s">
        <v>404</v>
      </c>
      <c r="C8" s="257">
        <v>0.5</v>
      </c>
      <c r="D8" s="259">
        <v>2.34181818181818</v>
      </c>
      <c r="E8" s="259">
        <v>2.1065830721003098</v>
      </c>
      <c r="F8" s="259">
        <v>1.92</v>
      </c>
      <c r="G8" s="259">
        <v>1.8319307810833201</v>
      </c>
      <c r="H8" s="259">
        <v>1.5</v>
      </c>
      <c r="K8" s="35"/>
      <c r="L8" s="43"/>
      <c r="M8" s="44" t="s">
        <v>82</v>
      </c>
      <c r="N8" s="36"/>
    </row>
    <row r="9" spans="1:14" ht="15.75" thickBot="1" x14ac:dyDescent="0.3">
      <c r="B9" s="839"/>
      <c r="C9" s="257">
        <v>0.54166666666666663</v>
      </c>
      <c r="D9" s="259">
        <v>2.6831774615161201</v>
      </c>
      <c r="E9" s="259">
        <v>2.2821316614420102</v>
      </c>
      <c r="F9" s="259">
        <v>2.0766464095249901</v>
      </c>
      <c r="G9" s="259">
        <v>1.9845916795069301</v>
      </c>
      <c r="H9" s="259">
        <v>1.9027272727272699</v>
      </c>
      <c r="K9" s="37"/>
      <c r="L9" s="38"/>
      <c r="M9" s="38"/>
      <c r="N9" s="39"/>
    </row>
    <row r="10" spans="1:14" ht="15" x14ac:dyDescent="0.2">
      <c r="B10" s="839"/>
      <c r="C10" s="257">
        <v>0.58333333333333337</v>
      </c>
      <c r="D10" s="259">
        <v>3.0245367412140598</v>
      </c>
      <c r="E10" s="259">
        <v>2.54448426091921</v>
      </c>
      <c r="F10" s="259">
        <v>2.2363884410269099</v>
      </c>
      <c r="G10" s="259">
        <v>2.13725257793054</v>
      </c>
      <c r="H10" s="259">
        <v>2.0490909090909102</v>
      </c>
    </row>
    <row r="11" spans="1:14" ht="15" x14ac:dyDescent="0.2">
      <c r="B11" s="839"/>
      <c r="C11" s="257">
        <v>0.625</v>
      </c>
      <c r="D11" s="259">
        <v>3.3658960209119999</v>
      </c>
      <c r="E11" s="259">
        <v>2.8515540777389399</v>
      </c>
      <c r="F11" s="259">
        <v>2.4368213101379399</v>
      </c>
      <c r="G11" s="259">
        <v>2.2899134763541502</v>
      </c>
      <c r="H11" s="259">
        <v>2.1954545454545502</v>
      </c>
    </row>
    <row r="12" spans="1:14" ht="15" x14ac:dyDescent="0.2">
      <c r="B12" s="839"/>
      <c r="C12" s="257">
        <v>0.66666666666666663</v>
      </c>
      <c r="D12" s="259">
        <v>3.7072553006099298</v>
      </c>
      <c r="E12" s="259">
        <v>3.15862389455868</v>
      </c>
      <c r="F12" s="259">
        <v>2.7162422757842699</v>
      </c>
      <c r="G12" s="259">
        <v>2.5180610433049901</v>
      </c>
      <c r="H12" s="259">
        <v>2.34181818181818</v>
      </c>
    </row>
    <row r="13" spans="1:14" ht="15" x14ac:dyDescent="0.2">
      <c r="B13" s="839"/>
      <c r="C13" s="257">
        <v>0.70833333333333337</v>
      </c>
      <c r="D13" s="259">
        <v>4.0486145803078699</v>
      </c>
      <c r="E13" s="259">
        <v>3.4656937113784099</v>
      </c>
      <c r="F13" s="259">
        <v>2.9956632414305999</v>
      </c>
      <c r="G13" s="259">
        <v>2.7850956819213701</v>
      </c>
      <c r="H13" s="259">
        <v>2.59783764159164</v>
      </c>
    </row>
    <row r="14" spans="1:14" ht="15" x14ac:dyDescent="0.2">
      <c r="B14" s="839"/>
      <c r="C14" s="257">
        <v>0.75</v>
      </c>
      <c r="D14" s="259">
        <v>4.38997386000581</v>
      </c>
      <c r="E14" s="259">
        <v>3.7727635281981402</v>
      </c>
      <c r="F14" s="259">
        <v>3.2750842070769401</v>
      </c>
      <c r="G14" s="259">
        <v>3.0521303205377501</v>
      </c>
      <c r="H14" s="259">
        <v>2.8538571013650902</v>
      </c>
    </row>
    <row r="15" spans="1:14" ht="15" x14ac:dyDescent="0.2">
      <c r="B15" s="839"/>
      <c r="C15" s="257">
        <v>0.79166666666666663</v>
      </c>
      <c r="D15" s="259">
        <v>4.7313331397037501</v>
      </c>
      <c r="E15" s="259">
        <v>4.0798333450178799</v>
      </c>
      <c r="F15" s="259">
        <v>3.5545051727232702</v>
      </c>
      <c r="G15" s="259">
        <v>3.3191649591541301</v>
      </c>
      <c r="H15" s="259">
        <v>3.1098765611385399</v>
      </c>
    </row>
    <row r="16" spans="1:14" ht="15" x14ac:dyDescent="0.2">
      <c r="B16" s="839"/>
      <c r="C16" s="257">
        <v>0.83333333333333337</v>
      </c>
      <c r="D16" s="259">
        <v>5.0726924194016796</v>
      </c>
      <c r="E16" s="259">
        <v>4.3869031618376102</v>
      </c>
      <c r="F16" s="259">
        <v>3.8339261383696002</v>
      </c>
      <c r="G16" s="259">
        <v>3.5861995977705101</v>
      </c>
      <c r="H16" s="259">
        <v>3.3658960209119999</v>
      </c>
    </row>
    <row r="17" spans="2:8" ht="15" x14ac:dyDescent="0.2">
      <c r="B17" s="839"/>
      <c r="C17" s="257">
        <v>0.875</v>
      </c>
      <c r="D17" s="259">
        <v>5.4140516990996197</v>
      </c>
      <c r="E17" s="259">
        <v>4.6939729786573503</v>
      </c>
      <c r="F17" s="259">
        <v>4.1133471040159399</v>
      </c>
      <c r="G17" s="259">
        <v>3.8532342363868901</v>
      </c>
      <c r="H17" s="259">
        <v>3.6219154806854501</v>
      </c>
    </row>
    <row r="18" spans="2:8" ht="15" x14ac:dyDescent="0.2">
      <c r="B18" s="839"/>
      <c r="C18" s="257">
        <v>0.91666666666666663</v>
      </c>
      <c r="D18" s="259">
        <v>5.7554109787975598</v>
      </c>
      <c r="E18" s="259">
        <v>5.0010427954770797</v>
      </c>
      <c r="F18" s="259">
        <v>4.39276806966227</v>
      </c>
      <c r="G18" s="259">
        <v>4.1202688750032701</v>
      </c>
      <c r="H18" s="259">
        <v>3.8779349404588999</v>
      </c>
    </row>
    <row r="19" spans="2:8" ht="15" x14ac:dyDescent="0.2">
      <c r="B19" s="839"/>
      <c r="C19" s="257">
        <v>0.95833333333333337</v>
      </c>
      <c r="D19" s="259">
        <v>6.0967702584954999</v>
      </c>
      <c r="E19" s="259">
        <v>5.3081126122968101</v>
      </c>
      <c r="F19" s="259">
        <v>4.6721890353086097</v>
      </c>
      <c r="G19" s="259">
        <v>4.3873035136196501</v>
      </c>
      <c r="H19" s="259">
        <v>4.1339544002323496</v>
      </c>
    </row>
    <row r="20" spans="2:8" ht="15" x14ac:dyDescent="0.2">
      <c r="B20" s="840"/>
      <c r="C20" s="257">
        <v>0.99930555555555556</v>
      </c>
      <c r="D20" s="259">
        <v>6.2981722335172821</v>
      </c>
      <c r="E20" s="259">
        <v>5.4892838042204568</v>
      </c>
      <c r="F20" s="259">
        <v>4.8370474050399404</v>
      </c>
      <c r="G20" s="259">
        <v>4.5448539504033096</v>
      </c>
      <c r="H20" s="259">
        <v>4.2850058814986927</v>
      </c>
    </row>
  </sheetData>
  <mergeCells count="3">
    <mergeCell ref="B8:B20"/>
    <mergeCell ref="D6:H6"/>
    <mergeCell ref="K4:N4"/>
  </mergeCells>
  <hyperlinks>
    <hyperlink ref="A1" location="'2.1.c Insumos'!A1" display="ANEXO XII – FATORES DE UTILIZAÇÃO DE PESSOAL DE OPERAÇÃO E ENCARGOS SOCIAIS" xr:uid="{00000000-0004-0000-2700-000000000000}"/>
  </hyperlinks>
  <pageMargins left="0.511811024" right="0.511811024" top="0.78740157499999996" bottom="0.78740157499999996" header="0.31496062000000002" footer="0.3149606200000000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Planilha41">
    <tabColor theme="6" tint="0.39997558519241921"/>
  </sheetPr>
  <dimension ref="A1:K11"/>
  <sheetViews>
    <sheetView workbookViewId="0">
      <selection activeCell="C7" sqref="C7:D7"/>
    </sheetView>
  </sheetViews>
  <sheetFormatPr defaultRowHeight="12.75" x14ac:dyDescent="0.2"/>
  <sheetData>
    <row r="1" spans="1:11" x14ac:dyDescent="0.2">
      <c r="A1" s="474" t="s">
        <v>728</v>
      </c>
    </row>
    <row r="3" spans="1:11" ht="15" x14ac:dyDescent="0.25">
      <c r="A3" s="307" t="s">
        <v>729</v>
      </c>
      <c r="B3" s="20" t="s">
        <v>227</v>
      </c>
    </row>
    <row r="4" spans="1:11" ht="13.5" thickBot="1" x14ac:dyDescent="0.25"/>
    <row r="5" spans="1:11" ht="16.5" thickBot="1" x14ac:dyDescent="0.25">
      <c r="C5" s="168" t="s">
        <v>253</v>
      </c>
      <c r="D5" s="168" t="s">
        <v>254</v>
      </c>
      <c r="H5" s="518" t="s">
        <v>83</v>
      </c>
      <c r="I5" s="519"/>
      <c r="J5" s="519"/>
      <c r="K5" s="520"/>
    </row>
    <row r="6" spans="1:11" ht="15" x14ac:dyDescent="0.25">
      <c r="A6" s="169" t="s">
        <v>228</v>
      </c>
      <c r="B6" s="169" t="s">
        <v>234</v>
      </c>
      <c r="C6" s="168" t="s">
        <v>229</v>
      </c>
      <c r="D6" s="168" t="s">
        <v>229</v>
      </c>
      <c r="H6" s="33"/>
      <c r="I6" s="64"/>
      <c r="J6" s="64"/>
      <c r="K6" s="34"/>
    </row>
    <row r="7" spans="1:11" ht="15" x14ac:dyDescent="0.25">
      <c r="A7" s="169">
        <v>1</v>
      </c>
      <c r="B7" s="169" t="s">
        <v>230</v>
      </c>
      <c r="C7" s="139">
        <v>0.29148046891328738</v>
      </c>
      <c r="D7" s="139">
        <v>0.64125703160923231</v>
      </c>
      <c r="H7" s="35"/>
      <c r="I7" s="2"/>
      <c r="J7" s="44" t="s">
        <v>81</v>
      </c>
      <c r="K7" s="36"/>
    </row>
    <row r="8" spans="1:11" ht="15" x14ac:dyDescent="0.25">
      <c r="A8" s="169">
        <v>2</v>
      </c>
      <c r="B8" s="169" t="s">
        <v>231</v>
      </c>
      <c r="C8" s="139">
        <v>0.28405714516057967</v>
      </c>
      <c r="D8" s="139">
        <v>0.55576397966200364</v>
      </c>
      <c r="H8" s="35"/>
      <c r="I8" s="4"/>
      <c r="J8" s="44" t="s">
        <v>93</v>
      </c>
      <c r="K8" s="36"/>
    </row>
    <row r="9" spans="1:11" ht="15" x14ac:dyDescent="0.25">
      <c r="A9" s="169">
        <v>3</v>
      </c>
      <c r="B9" s="169" t="s">
        <v>232</v>
      </c>
      <c r="C9" s="139">
        <v>0.28737565533092746</v>
      </c>
      <c r="D9" s="139">
        <v>0.48728915469157258</v>
      </c>
      <c r="H9" s="35"/>
      <c r="I9" s="43"/>
      <c r="J9" s="44" t="s">
        <v>82</v>
      </c>
      <c r="K9" s="36"/>
    </row>
    <row r="10" spans="1:11" ht="15.75" thickBot="1" x14ac:dyDescent="0.3">
      <c r="A10" s="169">
        <v>4</v>
      </c>
      <c r="B10" s="169" t="s">
        <v>233</v>
      </c>
      <c r="C10" s="139">
        <v>0.27128360390981804</v>
      </c>
      <c r="D10" s="139">
        <v>0.41551033003908844</v>
      </c>
      <c r="H10" s="37"/>
      <c r="I10" s="38"/>
      <c r="J10" s="38"/>
      <c r="K10" s="39"/>
    </row>
    <row r="11" spans="1:11" ht="15" x14ac:dyDescent="0.2">
      <c r="A11" s="169">
        <v>5</v>
      </c>
      <c r="B11" s="169" t="s">
        <v>235</v>
      </c>
      <c r="C11" s="139">
        <v>0.24073620237561813</v>
      </c>
      <c r="D11" s="139">
        <v>0.3512380657611478</v>
      </c>
    </row>
  </sheetData>
  <mergeCells count="1">
    <mergeCell ref="H5:K5"/>
  </mergeCells>
  <hyperlinks>
    <hyperlink ref="A1" location="'2.1.c Insumos'!A1" display="ANEXO XIII – MÉTODO PARA CÁLCULO DAS DESPESAS COM PESSOAL DE MANUTENÇÃO, ADMINISTRATIVO E DIRETORIA" xr:uid="{00000000-0004-0000-2800-000000000000}"/>
  </hyperlinks>
  <pageMargins left="0.511811024" right="0.511811024" top="0.78740157499999996" bottom="0.78740157499999996" header="0.31496062000000002" footer="0.31496062000000002"/>
  <pageSetup paperSize="9" orientation="portrait" verticalDpi="0"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Planilha42">
    <tabColor theme="6" tint="0.39997558519241921"/>
  </sheetPr>
  <dimension ref="A1:Y46"/>
  <sheetViews>
    <sheetView topLeftCell="A2" workbookViewId="0">
      <selection activeCell="A2" sqref="A2"/>
    </sheetView>
  </sheetViews>
  <sheetFormatPr defaultColWidth="11.42578125" defaultRowHeight="12.75" x14ac:dyDescent="0.2"/>
  <cols>
    <col min="1" max="1" width="11.42578125" style="189" customWidth="1"/>
    <col min="2" max="2" width="10" style="190" customWidth="1"/>
    <col min="3" max="3" width="16.42578125" style="190" bestFit="1" customWidth="1"/>
    <col min="4" max="4" width="11.7109375" style="190" customWidth="1"/>
    <col min="5" max="5" width="10" style="190" bestFit="1" customWidth="1"/>
    <col min="6" max="6" width="10.7109375" style="190" bestFit="1" customWidth="1"/>
    <col min="7" max="7" width="9.28515625" style="190" bestFit="1" customWidth="1"/>
    <col min="8" max="8" width="11.28515625" style="190" bestFit="1" customWidth="1"/>
    <col min="9" max="9" width="9.28515625" style="190" bestFit="1" customWidth="1"/>
    <col min="10" max="10" width="10.7109375" style="190" bestFit="1" customWidth="1"/>
    <col min="11" max="11" width="2.85546875" style="190" customWidth="1"/>
    <col min="12" max="12" width="8" style="190" customWidth="1"/>
    <col min="13" max="13" width="27.140625" style="190" customWidth="1"/>
    <col min="14" max="14" width="10.42578125" style="190" customWidth="1"/>
    <col min="15" max="16" width="11.42578125" style="190" customWidth="1"/>
    <col min="17" max="17" width="24.7109375" style="190" customWidth="1"/>
    <col min="18" max="18" width="11.28515625" style="190" customWidth="1"/>
    <col min="19" max="21" width="11.42578125" style="190" customWidth="1"/>
    <col min="22" max="22" width="9.5703125" style="190" bestFit="1" customWidth="1"/>
    <col min="23" max="16384" width="11.42578125" style="190"/>
  </cols>
  <sheetData>
    <row r="1" spans="1:25" x14ac:dyDescent="0.2">
      <c r="A1" s="474" t="s">
        <v>873</v>
      </c>
    </row>
    <row r="2" spans="1:25" ht="15" x14ac:dyDescent="0.25">
      <c r="A2" s="191" t="s">
        <v>257</v>
      </c>
      <c r="B2" s="9" t="s">
        <v>382</v>
      </c>
      <c r="C2" s="9"/>
      <c r="D2" s="9"/>
      <c r="E2" s="9"/>
    </row>
    <row r="3" spans="1:25" x14ac:dyDescent="0.2">
      <c r="B3" s="551" t="s">
        <v>383</v>
      </c>
      <c r="C3" s="551"/>
      <c r="D3" s="65" t="s">
        <v>908</v>
      </c>
      <c r="E3" s="9" t="s">
        <v>385</v>
      </c>
    </row>
    <row r="4" spans="1:25" x14ac:dyDescent="0.2">
      <c r="B4" s="850" t="s">
        <v>384</v>
      </c>
      <c r="C4" s="850"/>
      <c r="D4" s="65"/>
      <c r="E4" s="9" t="s">
        <v>386</v>
      </c>
    </row>
    <row r="6" spans="1:25" ht="15" x14ac:dyDescent="0.25">
      <c r="A6" s="191"/>
      <c r="B6" s="192" t="s">
        <v>258</v>
      </c>
      <c r="P6" s="335"/>
      <c r="Q6" s="335"/>
      <c r="R6" s="335"/>
      <c r="S6" s="335"/>
      <c r="T6" s="335"/>
      <c r="U6" s="335"/>
      <c r="V6" s="335"/>
    </row>
    <row r="7" spans="1:25" ht="13.5" customHeight="1" thickBot="1" x14ac:dyDescent="0.25">
      <c r="P7" s="335"/>
      <c r="Q7" s="335"/>
      <c r="R7" s="335"/>
      <c r="S7" s="335"/>
      <c r="T7" s="335"/>
      <c r="U7" s="335"/>
      <c r="V7" s="335"/>
    </row>
    <row r="8" spans="1:25" ht="15.75" thickBot="1" x14ac:dyDescent="0.25">
      <c r="K8" s="844" t="s">
        <v>83</v>
      </c>
      <c r="L8" s="845"/>
      <c r="M8" s="845"/>
      <c r="N8" s="846"/>
      <c r="O8" s="345"/>
      <c r="P8" s="211"/>
      <c r="Q8" s="211"/>
      <c r="R8" s="211"/>
      <c r="S8" s="211"/>
      <c r="T8" s="211">
        <v>1</v>
      </c>
      <c r="U8" s="211"/>
      <c r="V8" s="211"/>
      <c r="W8" s="345"/>
      <c r="X8" s="345"/>
    </row>
    <row r="9" spans="1:25" ht="15" x14ac:dyDescent="0.25">
      <c r="K9" s="193"/>
      <c r="L9" s="194"/>
      <c r="M9" s="333"/>
      <c r="N9" s="334"/>
      <c r="O9" s="345"/>
      <c r="P9" s="211"/>
      <c r="Q9" s="211"/>
      <c r="R9" s="211"/>
      <c r="S9" s="211"/>
      <c r="T9" s="211"/>
      <c r="U9" s="211"/>
      <c r="V9" s="211"/>
      <c r="W9" s="345"/>
      <c r="X9" s="345"/>
      <c r="Y9" s="335"/>
    </row>
    <row r="10" spans="1:25" ht="15" x14ac:dyDescent="0.25">
      <c r="F10" s="196"/>
      <c r="G10" s="196"/>
      <c r="H10" s="196"/>
      <c r="I10" s="196"/>
      <c r="J10" s="196"/>
      <c r="K10" s="197"/>
      <c r="L10" s="2"/>
      <c r="M10" s="336" t="s">
        <v>81</v>
      </c>
      <c r="N10" s="337"/>
      <c r="O10" s="345"/>
      <c r="P10" s="211"/>
      <c r="Q10" s="350" t="s">
        <v>259</v>
      </c>
      <c r="R10" s="350" t="s">
        <v>260</v>
      </c>
      <c r="S10" s="350" t="s">
        <v>261</v>
      </c>
      <c r="T10" s="350" t="s">
        <v>262</v>
      </c>
      <c r="U10" s="211"/>
      <c r="V10" s="350"/>
      <c r="W10" s="345"/>
      <c r="X10" s="345"/>
      <c r="Y10" s="335"/>
    </row>
    <row r="11" spans="1:25" ht="15" x14ac:dyDescent="0.25">
      <c r="K11" s="197"/>
      <c r="L11" s="4"/>
      <c r="M11" s="336" t="s">
        <v>93</v>
      </c>
      <c r="N11" s="337"/>
      <c r="O11" s="345"/>
      <c r="P11" s="211"/>
      <c r="Q11" s="351">
        <v>0.95</v>
      </c>
      <c r="R11" s="346">
        <v>5.0200000000000002E-2</v>
      </c>
      <c r="S11" s="346">
        <v>7.3099999999999998E-2</v>
      </c>
      <c r="T11" s="346">
        <v>0.12</v>
      </c>
      <c r="U11" s="211"/>
      <c r="V11" s="352"/>
      <c r="W11" s="345"/>
      <c r="X11" s="345"/>
      <c r="Y11" s="335"/>
    </row>
    <row r="12" spans="1:25" ht="15" x14ac:dyDescent="0.25">
      <c r="K12" s="197"/>
      <c r="L12" s="43"/>
      <c r="M12" s="336" t="s">
        <v>82</v>
      </c>
      <c r="N12" s="337"/>
      <c r="O12" s="345"/>
      <c r="P12" s="211"/>
      <c r="Q12" s="351">
        <v>0.9</v>
      </c>
      <c r="R12" s="346">
        <v>3.9300000000000002E-2</v>
      </c>
      <c r="S12" s="346">
        <v>5.7099999999999998E-2</v>
      </c>
      <c r="T12" s="346">
        <v>9.3799999999999994E-2</v>
      </c>
      <c r="U12" s="211"/>
      <c r="V12" s="352"/>
      <c r="W12" s="345"/>
      <c r="X12" s="345"/>
      <c r="Y12" s="335"/>
    </row>
    <row r="13" spans="1:25" ht="15.75" thickBot="1" x14ac:dyDescent="0.3">
      <c r="K13" s="200"/>
      <c r="L13" s="201"/>
      <c r="M13" s="338"/>
      <c r="N13" s="339"/>
      <c r="O13" s="345"/>
      <c r="P13" s="211"/>
      <c r="Q13" s="351">
        <v>0.85</v>
      </c>
      <c r="R13" s="346">
        <v>3.15E-2</v>
      </c>
      <c r="S13" s="346">
        <v>4.58E-2</v>
      </c>
      <c r="T13" s="346">
        <v>7.5300000000000006E-2</v>
      </c>
      <c r="U13" s="211"/>
      <c r="V13" s="352"/>
      <c r="W13" s="345"/>
      <c r="X13" s="345"/>
      <c r="Y13" s="335"/>
    </row>
    <row r="14" spans="1:25" ht="15" x14ac:dyDescent="0.2">
      <c r="M14" s="335"/>
      <c r="N14" s="335"/>
      <c r="O14" s="345"/>
      <c r="P14" s="211"/>
      <c r="Q14" s="351"/>
      <c r="R14" s="346"/>
      <c r="S14" s="346"/>
      <c r="T14" s="346"/>
      <c r="U14" s="211"/>
      <c r="V14" s="352"/>
      <c r="W14" s="345"/>
      <c r="X14" s="345"/>
      <c r="Y14" s="335"/>
    </row>
    <row r="15" spans="1:25" ht="15" x14ac:dyDescent="0.2">
      <c r="M15" s="335"/>
      <c r="N15" s="335"/>
      <c r="O15" s="345"/>
      <c r="P15" s="211"/>
      <c r="Q15" s="351"/>
      <c r="R15" s="346"/>
      <c r="S15" s="346"/>
      <c r="T15" s="346"/>
      <c r="U15" s="211"/>
      <c r="V15" s="211"/>
      <c r="W15" s="345"/>
      <c r="X15" s="345"/>
      <c r="Y15" s="335"/>
    </row>
    <row r="16" spans="1:25" x14ac:dyDescent="0.2">
      <c r="M16" s="335"/>
      <c r="N16" s="335"/>
      <c r="O16" s="345"/>
      <c r="P16" s="211"/>
      <c r="Q16" s="211"/>
      <c r="R16" s="353" t="s">
        <v>259</v>
      </c>
      <c r="S16" s="350" t="s">
        <v>259</v>
      </c>
      <c r="T16" s="350" t="s">
        <v>263</v>
      </c>
      <c r="U16" s="211"/>
      <c r="V16" s="211"/>
      <c r="W16" s="345"/>
      <c r="X16" s="345"/>
      <c r="Y16" s="335"/>
    </row>
    <row r="17" spans="1:25" ht="12.75" customHeight="1" x14ac:dyDescent="0.2">
      <c r="M17" s="335"/>
      <c r="N17" s="335"/>
      <c r="O17" s="345"/>
      <c r="P17" s="211"/>
      <c r="Q17" s="354" t="s">
        <v>264</v>
      </c>
      <c r="R17" s="350" t="s">
        <v>260</v>
      </c>
      <c r="S17" s="235">
        <f>R11</f>
        <v>5.0200000000000002E-2</v>
      </c>
      <c r="T17" s="355">
        <f t="shared" ref="T17:T25" si="0">S17</f>
        <v>5.0200000000000002E-2</v>
      </c>
      <c r="U17" s="211"/>
      <c r="V17" s="211"/>
      <c r="W17" s="345"/>
      <c r="X17" s="345"/>
      <c r="Y17" s="335"/>
    </row>
    <row r="18" spans="1:25" x14ac:dyDescent="0.2">
      <c r="M18" s="335"/>
      <c r="N18" s="335"/>
      <c r="O18" s="345"/>
      <c r="P18" s="211"/>
      <c r="Q18" s="354"/>
      <c r="R18" s="350" t="s">
        <v>261</v>
      </c>
      <c r="S18" s="235">
        <f>S11</f>
        <v>7.3099999999999998E-2</v>
      </c>
      <c r="T18" s="355">
        <f t="shared" si="0"/>
        <v>7.3099999999999998E-2</v>
      </c>
      <c r="U18" s="211"/>
      <c r="V18" s="211"/>
      <c r="W18" s="345"/>
      <c r="X18" s="345"/>
      <c r="Y18" s="335"/>
    </row>
    <row r="19" spans="1:25" x14ac:dyDescent="0.2">
      <c r="M19" s="335"/>
      <c r="N19" s="335"/>
      <c r="O19" s="345"/>
      <c r="P19" s="211"/>
      <c r="Q19" s="354"/>
      <c r="R19" s="350" t="s">
        <v>262</v>
      </c>
      <c r="S19" s="235">
        <f>T11</f>
        <v>0.12</v>
      </c>
      <c r="T19" s="355">
        <f t="shared" si="0"/>
        <v>0.12</v>
      </c>
      <c r="U19" s="211"/>
      <c r="V19" s="211"/>
      <c r="W19" s="345"/>
      <c r="X19" s="345"/>
      <c r="Y19" s="335"/>
    </row>
    <row r="20" spans="1:25" x14ac:dyDescent="0.2">
      <c r="M20" s="335"/>
      <c r="N20" s="335"/>
      <c r="O20" s="345"/>
      <c r="P20" s="211"/>
      <c r="Q20" s="354" t="s">
        <v>265</v>
      </c>
      <c r="R20" s="350" t="s">
        <v>260</v>
      </c>
      <c r="S20" s="235">
        <f>R12</f>
        <v>3.9300000000000002E-2</v>
      </c>
      <c r="T20" s="355">
        <f t="shared" si="0"/>
        <v>3.9300000000000002E-2</v>
      </c>
      <c r="U20" s="211"/>
      <c r="V20" s="211"/>
      <c r="W20" s="345"/>
      <c r="X20" s="345"/>
      <c r="Y20" s="335"/>
    </row>
    <row r="21" spans="1:25" x14ac:dyDescent="0.2">
      <c r="M21" s="335"/>
      <c r="N21" s="335"/>
      <c r="O21" s="345"/>
      <c r="P21" s="211"/>
      <c r="Q21" s="354"/>
      <c r="R21" s="350" t="s">
        <v>261</v>
      </c>
      <c r="S21" s="235">
        <f>S12</f>
        <v>5.7099999999999998E-2</v>
      </c>
      <c r="T21" s="355">
        <f t="shared" si="0"/>
        <v>5.7099999999999998E-2</v>
      </c>
      <c r="U21" s="211"/>
      <c r="V21" s="211"/>
      <c r="W21" s="345"/>
      <c r="X21" s="345"/>
      <c r="Y21" s="335"/>
    </row>
    <row r="22" spans="1:25" ht="12.75" customHeight="1" x14ac:dyDescent="0.2">
      <c r="M22" s="335"/>
      <c r="N22" s="335"/>
      <c r="O22" s="345"/>
      <c r="P22" s="211"/>
      <c r="Q22" s="354"/>
      <c r="R22" s="350" t="s">
        <v>262</v>
      </c>
      <c r="S22" s="235">
        <f>T12</f>
        <v>9.3799999999999994E-2</v>
      </c>
      <c r="T22" s="355">
        <f t="shared" si="0"/>
        <v>9.3799999999999994E-2</v>
      </c>
      <c r="U22" s="211"/>
      <c r="V22" s="211"/>
      <c r="W22" s="345"/>
      <c r="X22" s="345"/>
      <c r="Y22" s="335"/>
    </row>
    <row r="23" spans="1:25" x14ac:dyDescent="0.2">
      <c r="M23" s="335"/>
      <c r="N23" s="335"/>
      <c r="O23" s="345"/>
      <c r="P23" s="211"/>
      <c r="Q23" s="354" t="s">
        <v>266</v>
      </c>
      <c r="R23" s="350" t="s">
        <v>260</v>
      </c>
      <c r="S23" s="235">
        <f>R13</f>
        <v>3.15E-2</v>
      </c>
      <c r="T23" s="355">
        <f t="shared" si="0"/>
        <v>3.15E-2</v>
      </c>
      <c r="U23" s="211"/>
      <c r="V23" s="211"/>
      <c r="W23" s="345"/>
      <c r="X23" s="345"/>
      <c r="Y23" s="335"/>
    </row>
    <row r="24" spans="1:25" x14ac:dyDescent="0.2">
      <c r="M24" s="335"/>
      <c r="N24" s="335"/>
      <c r="O24" s="345"/>
      <c r="P24" s="211"/>
      <c r="Q24" s="354"/>
      <c r="R24" s="350" t="s">
        <v>261</v>
      </c>
      <c r="S24" s="235">
        <f>S13</f>
        <v>4.58E-2</v>
      </c>
      <c r="T24" s="355">
        <f t="shared" si="0"/>
        <v>4.58E-2</v>
      </c>
      <c r="U24" s="211"/>
      <c r="V24" s="211"/>
      <c r="W24" s="345"/>
      <c r="X24" s="345"/>
      <c r="Y24" s="335"/>
    </row>
    <row r="25" spans="1:25" x14ac:dyDescent="0.2">
      <c r="M25" s="335"/>
      <c r="N25" s="335"/>
      <c r="O25" s="345"/>
      <c r="P25" s="211"/>
      <c r="Q25" s="211"/>
      <c r="R25" s="350" t="s">
        <v>262</v>
      </c>
      <c r="S25" s="235">
        <f>T13</f>
        <v>7.5300000000000006E-2</v>
      </c>
      <c r="T25" s="355">
        <f t="shared" si="0"/>
        <v>7.5300000000000006E-2</v>
      </c>
      <c r="U25" s="211"/>
      <c r="V25" s="211"/>
      <c r="W25" s="345"/>
      <c r="X25" s="345"/>
      <c r="Y25" s="335"/>
    </row>
    <row r="26" spans="1:25" x14ac:dyDescent="0.2">
      <c r="M26" s="335"/>
      <c r="N26" s="335"/>
      <c r="O26" s="345"/>
      <c r="P26" s="211"/>
      <c r="Q26" s="354"/>
      <c r="R26" s="211"/>
      <c r="S26" s="235"/>
      <c r="T26" s="235"/>
      <c r="U26" s="355"/>
      <c r="V26" s="211"/>
      <c r="W26" s="345"/>
      <c r="X26" s="345"/>
      <c r="Y26" s="335"/>
    </row>
    <row r="27" spans="1:25" ht="12.75" customHeight="1" x14ac:dyDescent="0.2">
      <c r="M27" s="335"/>
      <c r="N27" s="335"/>
      <c r="O27" s="345"/>
      <c r="P27" s="211"/>
      <c r="Q27" s="354"/>
      <c r="R27" s="211"/>
      <c r="S27" s="235"/>
      <c r="T27" s="235"/>
      <c r="U27" s="355"/>
      <c r="V27" s="211"/>
      <c r="W27" s="345"/>
      <c r="X27" s="345"/>
      <c r="Y27" s="335"/>
    </row>
    <row r="28" spans="1:25" ht="15" x14ac:dyDescent="0.25">
      <c r="A28" s="191" t="s">
        <v>267</v>
      </c>
      <c r="B28" s="192" t="s">
        <v>268</v>
      </c>
      <c r="M28" s="335"/>
      <c r="N28" s="335"/>
      <c r="O28" s="345"/>
      <c r="P28" s="211"/>
      <c r="Q28" s="354"/>
      <c r="R28" s="211"/>
      <c r="S28" s="235"/>
      <c r="T28" s="235"/>
      <c r="U28" s="355"/>
      <c r="V28" s="211"/>
      <c r="W28" s="345"/>
      <c r="X28" s="345"/>
      <c r="Y28" s="335"/>
    </row>
    <row r="29" spans="1:25" ht="17.25" customHeight="1" x14ac:dyDescent="0.2">
      <c r="M29" s="335"/>
      <c r="N29" s="335"/>
      <c r="O29" s="345"/>
      <c r="P29" s="335"/>
      <c r="Q29" s="394"/>
      <c r="R29" s="335"/>
      <c r="S29" s="395"/>
      <c r="T29" s="395"/>
      <c r="U29" s="396"/>
      <c r="V29" s="335"/>
      <c r="W29" s="345"/>
      <c r="X29" s="345"/>
      <c r="Y29" s="335"/>
    </row>
    <row r="30" spans="1:25" ht="17.25" customHeight="1" thickBot="1" x14ac:dyDescent="0.25">
      <c r="M30" s="335"/>
      <c r="N30" s="335"/>
      <c r="O30" s="345"/>
      <c r="P30" s="335"/>
      <c r="Q30" s="394"/>
      <c r="R30" s="335"/>
      <c r="S30" s="395"/>
      <c r="T30" s="395"/>
      <c r="U30" s="396"/>
      <c r="V30" s="335"/>
      <c r="W30" s="345"/>
      <c r="X30" s="345"/>
      <c r="Y30" s="335"/>
    </row>
    <row r="31" spans="1:25" x14ac:dyDescent="0.2">
      <c r="B31" s="203" t="s">
        <v>269</v>
      </c>
      <c r="C31" s="204" t="s">
        <v>282</v>
      </c>
      <c r="D31" s="205" t="s">
        <v>820</v>
      </c>
      <c r="M31" s="335"/>
      <c r="N31" s="335"/>
      <c r="O31" s="345"/>
      <c r="P31" s="335"/>
      <c r="Q31" s="394"/>
      <c r="R31" s="335"/>
      <c r="S31" s="395"/>
      <c r="T31" s="395"/>
      <c r="U31" s="396"/>
      <c r="V31" s="335"/>
      <c r="W31" s="345"/>
      <c r="X31" s="345"/>
      <c r="Y31" s="335"/>
    </row>
    <row r="32" spans="1:25" ht="23.25" customHeight="1" x14ac:dyDescent="0.2">
      <c r="B32" s="206">
        <f>IF(T8=1,R11,IF(T8=2,R12,IF(T8=3,R13,IF(T8=4,R14,"ERROR"))))</f>
        <v>5.0200000000000002E-2</v>
      </c>
      <c r="C32" s="207">
        <f>IF(T8=1,S11,IF(T8=2,S12,IF(T8=3,S13,IF(T8=4,S14,"ERROR"))))</f>
        <v>7.3099999999999998E-2</v>
      </c>
      <c r="D32" s="208">
        <f>IF(T8=1,T11,IF(T8=2,T12,IF(T8=3,T13,IF(T8=4,T14,"ERROR"))))</f>
        <v>0.12</v>
      </c>
      <c r="M32" s="335"/>
      <c r="N32" s="335"/>
      <c r="O32" s="345"/>
      <c r="P32" s="335"/>
      <c r="Q32" s="335"/>
      <c r="R32" s="335"/>
      <c r="S32" s="335"/>
      <c r="T32" s="335"/>
      <c r="U32" s="335"/>
      <c r="V32" s="335"/>
      <c r="W32" s="345"/>
      <c r="X32" s="345"/>
      <c r="Y32" s="335"/>
    </row>
    <row r="33" spans="1:25" ht="21.75" customHeight="1" thickBot="1" x14ac:dyDescent="0.25">
      <c r="B33" s="847" t="s">
        <v>270</v>
      </c>
      <c r="C33" s="848"/>
      <c r="D33" s="849"/>
      <c r="M33" s="335"/>
      <c r="N33" s="335"/>
      <c r="O33" s="345"/>
      <c r="P33" s="335"/>
      <c r="Q33" s="335"/>
      <c r="R33" s="335"/>
      <c r="S33" s="335"/>
      <c r="T33" s="335"/>
      <c r="U33" s="335"/>
      <c r="V33" s="335"/>
      <c r="W33" s="345"/>
      <c r="X33" s="345"/>
      <c r="Y33" s="335"/>
    </row>
    <row r="34" spans="1:25" ht="12.75" customHeight="1" x14ac:dyDescent="0.2">
      <c r="M34" s="335"/>
      <c r="N34" s="335"/>
      <c r="O34" s="345"/>
      <c r="P34" s="335"/>
      <c r="Q34" s="335"/>
      <c r="R34" s="335"/>
      <c r="S34" s="335"/>
      <c r="T34" s="335"/>
      <c r="U34" s="335"/>
      <c r="V34" s="335"/>
      <c r="W34" s="345"/>
      <c r="X34" s="345"/>
      <c r="Y34" s="335"/>
    </row>
    <row r="35" spans="1:25" ht="15" x14ac:dyDescent="0.25">
      <c r="A35" s="191" t="s">
        <v>271</v>
      </c>
      <c r="B35" s="192" t="s">
        <v>272</v>
      </c>
      <c r="M35" s="335"/>
      <c r="N35" s="335"/>
      <c r="O35" s="345"/>
      <c r="P35" s="335"/>
      <c r="Q35" s="335"/>
      <c r="R35" s="335"/>
      <c r="S35" s="335"/>
      <c r="T35" s="335"/>
      <c r="U35" s="335"/>
      <c r="V35" s="335"/>
      <c r="W35" s="345"/>
      <c r="X35" s="345"/>
      <c r="Y35" s="335"/>
    </row>
    <row r="36" spans="1:25" ht="15" x14ac:dyDescent="0.25">
      <c r="B36" s="209" t="s">
        <v>273</v>
      </c>
      <c r="C36" s="210">
        <v>7.3099999999999998E-2</v>
      </c>
      <c r="M36" s="335"/>
      <c r="N36" s="335"/>
      <c r="O36" s="345"/>
      <c r="P36" s="335"/>
      <c r="Q36" s="335"/>
      <c r="R36" s="335"/>
      <c r="S36" s="335"/>
      <c r="T36" s="335"/>
      <c r="U36" s="335"/>
      <c r="V36" s="335"/>
      <c r="W36" s="345"/>
      <c r="X36" s="345"/>
      <c r="Y36" s="335"/>
    </row>
    <row r="37" spans="1:25" x14ac:dyDescent="0.2">
      <c r="M37" s="335"/>
      <c r="N37" s="335"/>
      <c r="O37" s="345"/>
      <c r="P37" s="335"/>
      <c r="Q37" s="335"/>
      <c r="R37" s="335"/>
      <c r="S37" s="335"/>
      <c r="T37" s="335"/>
      <c r="U37" s="335"/>
      <c r="V37" s="335"/>
      <c r="W37" s="345"/>
      <c r="X37" s="345"/>
      <c r="Y37" s="335"/>
    </row>
    <row r="38" spans="1:25" x14ac:dyDescent="0.2">
      <c r="M38" s="335"/>
      <c r="N38" s="335"/>
      <c r="O38" s="345"/>
      <c r="P38" s="345"/>
      <c r="Q38" s="345"/>
      <c r="R38" s="345"/>
      <c r="S38" s="345"/>
      <c r="T38" s="345"/>
      <c r="U38" s="345"/>
      <c r="V38" s="345"/>
      <c r="W38" s="345"/>
      <c r="X38" s="345"/>
      <c r="Y38" s="335"/>
    </row>
    <row r="39" spans="1:25" ht="15" x14ac:dyDescent="0.25">
      <c r="A39" s="191" t="s">
        <v>274</v>
      </c>
      <c r="B39" s="192" t="s">
        <v>275</v>
      </c>
      <c r="M39" s="335"/>
      <c r="N39" s="335"/>
      <c r="O39" s="345"/>
      <c r="P39" s="345"/>
      <c r="Q39" s="345"/>
      <c r="R39" s="345"/>
      <c r="S39" s="345"/>
      <c r="T39" s="345"/>
      <c r="U39" s="345"/>
      <c r="V39" s="345"/>
      <c r="W39" s="345"/>
      <c r="X39" s="345"/>
      <c r="Y39" s="335"/>
    </row>
    <row r="40" spans="1:25" ht="15" x14ac:dyDescent="0.25">
      <c r="B40" s="308" t="s">
        <v>276</v>
      </c>
      <c r="C40" s="397">
        <f>C36</f>
        <v>7.3099999999999998E-2</v>
      </c>
      <c r="M40" s="335"/>
      <c r="N40" s="335"/>
      <c r="O40" s="345"/>
      <c r="P40" s="345"/>
      <c r="Q40" s="345"/>
      <c r="R40" s="345"/>
      <c r="S40" s="345"/>
      <c r="T40" s="345"/>
      <c r="U40" s="345"/>
      <c r="V40" s="345"/>
      <c r="W40" s="345"/>
      <c r="X40" s="345"/>
      <c r="Y40" s="335"/>
    </row>
    <row r="41" spans="1:25" x14ac:dyDescent="0.2">
      <c r="M41" s="335"/>
      <c r="N41" s="335"/>
      <c r="O41" s="345"/>
      <c r="P41" s="345"/>
      <c r="Q41" s="345"/>
      <c r="R41" s="345"/>
      <c r="S41" s="345"/>
      <c r="T41" s="345"/>
      <c r="U41" s="345"/>
      <c r="V41" s="345"/>
      <c r="W41" s="345"/>
      <c r="X41" s="345"/>
      <c r="Y41" s="335"/>
    </row>
    <row r="42" spans="1:25" x14ac:dyDescent="0.2">
      <c r="M42" s="335"/>
      <c r="N42" s="335"/>
      <c r="O42" s="335"/>
      <c r="P42" s="335"/>
      <c r="Q42" s="335"/>
      <c r="R42" s="335"/>
      <c r="S42" s="335"/>
      <c r="T42" s="335"/>
      <c r="U42" s="335"/>
      <c r="V42" s="335"/>
      <c r="W42" s="335"/>
      <c r="X42" s="335"/>
      <c r="Y42" s="335"/>
    </row>
    <row r="43" spans="1:25" x14ac:dyDescent="0.2">
      <c r="M43" s="335"/>
      <c r="N43" s="335"/>
      <c r="O43" s="335"/>
      <c r="P43" s="335"/>
      <c r="Q43" s="335"/>
      <c r="R43" s="335"/>
      <c r="S43" s="335"/>
      <c r="T43" s="335"/>
      <c r="U43" s="335"/>
      <c r="V43" s="335"/>
      <c r="W43" s="335"/>
      <c r="X43" s="335"/>
      <c r="Y43" s="335"/>
    </row>
    <row r="44" spans="1:25" x14ac:dyDescent="0.2">
      <c r="M44" s="335"/>
      <c r="N44" s="335"/>
      <c r="O44" s="335"/>
      <c r="P44" s="335"/>
      <c r="Q44" s="335"/>
      <c r="R44" s="335"/>
      <c r="S44" s="335"/>
      <c r="T44" s="335"/>
      <c r="U44" s="335"/>
      <c r="V44" s="335"/>
      <c r="W44" s="335"/>
      <c r="X44" s="335"/>
      <c r="Y44" s="335"/>
    </row>
    <row r="45" spans="1:25" x14ac:dyDescent="0.2">
      <c r="M45" s="335"/>
      <c r="N45" s="335"/>
      <c r="O45" s="335"/>
      <c r="P45" s="335"/>
      <c r="Q45" s="335"/>
      <c r="R45" s="335"/>
      <c r="S45" s="335"/>
      <c r="T45" s="335"/>
      <c r="U45" s="335"/>
      <c r="V45" s="335"/>
      <c r="W45" s="335"/>
      <c r="X45" s="335"/>
      <c r="Y45" s="335"/>
    </row>
    <row r="46" spans="1:25" x14ac:dyDescent="0.2">
      <c r="M46" s="335"/>
      <c r="N46" s="335"/>
      <c r="O46" s="335"/>
      <c r="P46" s="335"/>
      <c r="Q46" s="335"/>
      <c r="R46" s="335"/>
      <c r="S46" s="335"/>
      <c r="T46" s="335"/>
      <c r="U46" s="335"/>
      <c r="V46" s="335"/>
      <c r="W46" s="335"/>
      <c r="X46" s="335"/>
      <c r="Y46" s="335"/>
    </row>
  </sheetData>
  <mergeCells count="4">
    <mergeCell ref="K8:N8"/>
    <mergeCell ref="B33:D33"/>
    <mergeCell ref="B3:C3"/>
    <mergeCell ref="B4:C4"/>
  </mergeCells>
  <conditionalFormatting sqref="B32">
    <cfRule type="cellIs" dxfId="11" priority="3" stopIfTrue="1" operator="equal">
      <formula>$R$13</formula>
    </cfRule>
    <cfRule type="cellIs" dxfId="10" priority="5" stopIfTrue="1" operator="equal">
      <formula>$R$14</formula>
    </cfRule>
    <cfRule type="cellIs" dxfId="9" priority="6" stopIfTrue="1" operator="equal">
      <formula>$R$12</formula>
    </cfRule>
    <cfRule type="cellIs" dxfId="8" priority="7" stopIfTrue="1" operator="equal">
      <formula>$R$11</formula>
    </cfRule>
  </conditionalFormatting>
  <conditionalFormatting sqref="C32">
    <cfRule type="cellIs" dxfId="7" priority="2" stopIfTrue="1" operator="equal">
      <formula>$S$13</formula>
    </cfRule>
    <cfRule type="cellIs" dxfId="6" priority="8" stopIfTrue="1" operator="equal">
      <formula>$S$14</formula>
    </cfRule>
    <cfRule type="cellIs" dxfId="5" priority="9" stopIfTrue="1" operator="equal">
      <formula>$S$12</formula>
    </cfRule>
    <cfRule type="cellIs" dxfId="4" priority="10" stopIfTrue="1" operator="equal">
      <formula>$S$11</formula>
    </cfRule>
  </conditionalFormatting>
  <conditionalFormatting sqref="D32">
    <cfRule type="cellIs" dxfId="3" priority="1" stopIfTrue="1" operator="equal">
      <formula>$T$13</formula>
    </cfRule>
    <cfRule type="cellIs" dxfId="2" priority="11" stopIfTrue="1" operator="equal">
      <formula>$T$14</formula>
    </cfRule>
    <cfRule type="cellIs" dxfId="1" priority="12" stopIfTrue="1" operator="equal">
      <formula>$T$12</formula>
    </cfRule>
    <cfRule type="cellIs" dxfId="0" priority="13" stopIfTrue="1" operator="equal">
      <formula>$T$11</formula>
    </cfRule>
  </conditionalFormatting>
  <conditionalFormatting sqref="O37:P37">
    <cfRule type="colorScale" priority="4">
      <colorScale>
        <cfvo type="min"/>
        <cfvo type="max"/>
        <color rgb="FFFF7128"/>
        <color rgb="FFFFEF9C"/>
      </colorScale>
    </cfRule>
  </conditionalFormatting>
  <hyperlinks>
    <hyperlink ref="A1" location="'2.1.c Insumos'!A1" display="ANEXO XV – MÉTODO DE CÁLCULO DO FATOR DE RISCO" xr:uid="{00000000-0004-0000-2900-000000000000}"/>
  </hyperlinks>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Drop Down 1">
              <controlPr defaultSize="0" autoLine="0" autoPict="0">
                <anchor moveWithCells="1">
                  <from>
                    <xdr:col>1</xdr:col>
                    <xdr:colOff>9525</xdr:colOff>
                    <xdr:row>28</xdr:row>
                    <xdr:rowOff>19050</xdr:rowOff>
                  </from>
                  <to>
                    <xdr:col>1</xdr:col>
                    <xdr:colOff>657225</xdr:colOff>
                    <xdr:row>29</xdr:row>
                    <xdr:rowOff>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Planilha43">
    <tabColor theme="9" tint="0.39997558519241921"/>
  </sheetPr>
  <dimension ref="A1:O132"/>
  <sheetViews>
    <sheetView topLeftCell="A19" workbookViewId="0">
      <selection activeCell="J8" sqref="J8"/>
    </sheetView>
  </sheetViews>
  <sheetFormatPr defaultColWidth="11.42578125" defaultRowHeight="12.75" x14ac:dyDescent="0.2"/>
  <cols>
    <col min="1" max="1" width="11.42578125" style="190" customWidth="1"/>
    <col min="2" max="3" width="20.42578125" style="212" customWidth="1"/>
    <col min="4" max="4" width="30.5703125" style="212" customWidth="1"/>
    <col min="5" max="5" width="30" style="212" customWidth="1"/>
    <col min="6" max="6" width="25.5703125" style="212" customWidth="1"/>
    <col min="7" max="7" width="36.42578125" style="212" customWidth="1"/>
    <col min="8" max="8" width="26" style="212" customWidth="1"/>
    <col min="9" max="9" width="27.42578125" style="212" customWidth="1"/>
    <col min="10" max="10" width="34.85546875" style="212" customWidth="1"/>
    <col min="11" max="11" width="11.42578125" style="190" customWidth="1"/>
    <col min="12" max="12" width="11.42578125" style="212" customWidth="1"/>
    <col min="13" max="14" width="11.42578125" style="190" customWidth="1"/>
    <col min="15" max="15" width="30.28515625" style="190" customWidth="1"/>
    <col min="16" max="16384" width="11.42578125" style="190"/>
  </cols>
  <sheetData>
    <row r="1" spans="1:15" ht="13.5" thickBot="1" x14ac:dyDescent="0.25">
      <c r="A1" s="306" t="s">
        <v>873</v>
      </c>
    </row>
    <row r="2" spans="1:15" ht="15.75" thickBot="1" x14ac:dyDescent="0.25">
      <c r="B2" s="213"/>
      <c r="C2" s="213" t="s">
        <v>257</v>
      </c>
      <c r="D2" s="214" t="s">
        <v>277</v>
      </c>
      <c r="L2" s="844" t="s">
        <v>83</v>
      </c>
      <c r="M2" s="845"/>
      <c r="N2" s="845"/>
      <c r="O2" s="846"/>
    </row>
    <row r="3" spans="1:15" ht="15" x14ac:dyDescent="0.25">
      <c r="B3" s="213"/>
      <c r="C3" s="213"/>
      <c r="D3" s="214"/>
      <c r="L3" s="347"/>
      <c r="M3" s="194"/>
      <c r="N3" s="194"/>
      <c r="O3" s="195"/>
    </row>
    <row r="4" spans="1:15" ht="15" x14ac:dyDescent="0.25">
      <c r="L4" s="348"/>
      <c r="M4" s="2"/>
      <c r="N4" s="198" t="s">
        <v>81</v>
      </c>
      <c r="O4" s="199"/>
    </row>
    <row r="5" spans="1:15" ht="15" x14ac:dyDescent="0.25">
      <c r="B5" s="213"/>
      <c r="C5" s="213" t="s">
        <v>278</v>
      </c>
      <c r="D5" s="214" t="s">
        <v>406</v>
      </c>
      <c r="L5" s="348"/>
      <c r="M5" s="4"/>
      <c r="N5" s="198" t="s">
        <v>93</v>
      </c>
      <c r="O5" s="199"/>
    </row>
    <row r="6" spans="1:15" ht="15" x14ac:dyDescent="0.25">
      <c r="L6" s="348"/>
      <c r="M6" s="43"/>
      <c r="N6" s="198" t="s">
        <v>82</v>
      </c>
      <c r="O6" s="199"/>
    </row>
    <row r="7" spans="1:15" ht="29.25" customHeight="1" thickBot="1" x14ac:dyDescent="0.3">
      <c r="B7" s="215" t="s">
        <v>259</v>
      </c>
      <c r="C7" s="215" t="s">
        <v>279</v>
      </c>
      <c r="D7" s="215" t="s">
        <v>806</v>
      </c>
      <c r="E7" s="216" t="s">
        <v>280</v>
      </c>
      <c r="F7" s="216" t="s">
        <v>808</v>
      </c>
      <c r="G7" s="216" t="s">
        <v>821</v>
      </c>
      <c r="H7" s="216" t="s">
        <v>282</v>
      </c>
      <c r="I7" s="216" t="s">
        <v>820</v>
      </c>
      <c r="J7" s="216" t="s">
        <v>283</v>
      </c>
      <c r="L7" s="349"/>
      <c r="M7" s="201"/>
      <c r="N7" s="201"/>
      <c r="O7" s="202"/>
    </row>
    <row r="8" spans="1:15" ht="107.25" customHeight="1" x14ac:dyDescent="0.2">
      <c r="B8" s="217" t="s">
        <v>771</v>
      </c>
      <c r="C8" s="851" t="s">
        <v>284</v>
      </c>
      <c r="D8" s="217" t="s">
        <v>285</v>
      </c>
      <c r="E8" s="217" t="s">
        <v>286</v>
      </c>
      <c r="F8" s="217" t="s">
        <v>287</v>
      </c>
      <c r="G8" s="217" t="s">
        <v>288</v>
      </c>
      <c r="H8" s="217" t="s">
        <v>289</v>
      </c>
      <c r="I8" s="217" t="s">
        <v>290</v>
      </c>
      <c r="J8" s="2"/>
      <c r="K8" s="369">
        <v>1</v>
      </c>
      <c r="L8" s="370">
        <v>1</v>
      </c>
    </row>
    <row r="9" spans="1:15" ht="106.5" customHeight="1" x14ac:dyDescent="0.2">
      <c r="B9" s="217" t="s">
        <v>772</v>
      </c>
      <c r="C9" s="852"/>
      <c r="D9" s="217" t="s">
        <v>291</v>
      </c>
      <c r="E9" s="217" t="s">
        <v>292</v>
      </c>
      <c r="F9" s="217" t="s">
        <v>287</v>
      </c>
      <c r="G9" s="217" t="s">
        <v>293</v>
      </c>
      <c r="H9" s="217" t="s">
        <v>294</v>
      </c>
      <c r="I9" s="217" t="s">
        <v>295</v>
      </c>
      <c r="J9" s="2"/>
      <c r="K9" s="369">
        <v>2</v>
      </c>
      <c r="L9" s="370">
        <v>2</v>
      </c>
    </row>
    <row r="10" spans="1:15" ht="196.5" customHeight="1" x14ac:dyDescent="0.2">
      <c r="B10" s="217" t="s">
        <v>773</v>
      </c>
      <c r="C10" s="217" t="s">
        <v>761</v>
      </c>
      <c r="D10" s="217" t="s">
        <v>789</v>
      </c>
      <c r="E10" s="217" t="s">
        <v>790</v>
      </c>
      <c r="F10" s="217" t="s">
        <v>296</v>
      </c>
      <c r="G10" s="217" t="s">
        <v>297</v>
      </c>
      <c r="H10" s="217" t="s">
        <v>298</v>
      </c>
      <c r="I10" s="217" t="s">
        <v>299</v>
      </c>
      <c r="J10" s="2"/>
      <c r="K10" s="369">
        <v>3</v>
      </c>
      <c r="L10" s="370">
        <v>3</v>
      </c>
    </row>
    <row r="11" spans="1:15" ht="72" x14ac:dyDescent="0.2">
      <c r="B11" s="217" t="s">
        <v>807</v>
      </c>
      <c r="C11" s="853" t="s">
        <v>300</v>
      </c>
      <c r="D11" s="217" t="s">
        <v>791</v>
      </c>
      <c r="E11" s="217" t="s">
        <v>301</v>
      </c>
      <c r="F11" s="217" t="s">
        <v>302</v>
      </c>
      <c r="G11" s="217" t="s">
        <v>792</v>
      </c>
      <c r="H11" s="217" t="s">
        <v>793</v>
      </c>
      <c r="I11" s="217" t="s">
        <v>303</v>
      </c>
      <c r="J11" s="2"/>
      <c r="K11" s="369">
        <v>4</v>
      </c>
      <c r="L11" s="370">
        <v>4</v>
      </c>
    </row>
    <row r="12" spans="1:15" ht="123.75" customHeight="1" x14ac:dyDescent="0.2">
      <c r="B12" s="217" t="s">
        <v>775</v>
      </c>
      <c r="C12" s="854"/>
      <c r="D12" s="217" t="s">
        <v>304</v>
      </c>
      <c r="E12" s="217" t="s">
        <v>305</v>
      </c>
      <c r="F12" s="217" t="s">
        <v>306</v>
      </c>
      <c r="G12" s="217" t="s">
        <v>307</v>
      </c>
      <c r="H12" s="217" t="s">
        <v>308</v>
      </c>
      <c r="I12" s="217" t="s">
        <v>309</v>
      </c>
      <c r="J12" s="218"/>
      <c r="K12" s="369">
        <v>5</v>
      </c>
      <c r="L12" s="370">
        <v>5</v>
      </c>
    </row>
    <row r="13" spans="1:15" ht="163.5" customHeight="1" x14ac:dyDescent="0.2">
      <c r="B13" s="853" t="s">
        <v>776</v>
      </c>
      <c r="C13" s="851" t="s">
        <v>762</v>
      </c>
      <c r="D13" s="851" t="s">
        <v>794</v>
      </c>
      <c r="E13" s="853" t="s">
        <v>795</v>
      </c>
      <c r="F13" s="851" t="s">
        <v>310</v>
      </c>
      <c r="G13" s="851" t="s">
        <v>796</v>
      </c>
      <c r="H13" s="851" t="s">
        <v>797</v>
      </c>
      <c r="I13" s="851" t="s">
        <v>798</v>
      </c>
      <c r="J13" s="861"/>
      <c r="K13" s="864">
        <v>6</v>
      </c>
      <c r="L13" s="856">
        <v>6</v>
      </c>
    </row>
    <row r="14" spans="1:15" ht="39.75" customHeight="1" x14ac:dyDescent="0.2">
      <c r="B14" s="853"/>
      <c r="C14" s="855"/>
      <c r="D14" s="855"/>
      <c r="E14" s="854"/>
      <c r="F14" s="855"/>
      <c r="G14" s="855"/>
      <c r="H14" s="855"/>
      <c r="I14" s="855"/>
      <c r="J14" s="862"/>
      <c r="K14" s="864"/>
      <c r="L14" s="856"/>
    </row>
    <row r="15" spans="1:15" x14ac:dyDescent="0.2">
      <c r="B15" s="853"/>
      <c r="C15" s="855"/>
      <c r="D15" s="855"/>
      <c r="E15" s="854"/>
      <c r="F15" s="855"/>
      <c r="G15" s="855"/>
      <c r="H15" s="855"/>
      <c r="I15" s="855"/>
      <c r="J15" s="862"/>
      <c r="K15" s="864"/>
      <c r="L15" s="856"/>
    </row>
    <row r="16" spans="1:15" ht="34.5" customHeight="1" x14ac:dyDescent="0.2">
      <c r="B16" s="853"/>
      <c r="C16" s="855"/>
      <c r="D16" s="855"/>
      <c r="E16" s="854"/>
      <c r="F16" s="855"/>
      <c r="G16" s="855"/>
      <c r="H16" s="855"/>
      <c r="I16" s="855"/>
      <c r="J16" s="862"/>
      <c r="K16" s="864"/>
      <c r="L16" s="856"/>
    </row>
    <row r="17" spans="2:12" ht="22.5" customHeight="1" x14ac:dyDescent="0.2">
      <c r="B17" s="853"/>
      <c r="C17" s="855"/>
      <c r="D17" s="855"/>
      <c r="E17" s="854"/>
      <c r="F17" s="855"/>
      <c r="G17" s="855"/>
      <c r="H17" s="855"/>
      <c r="I17" s="855"/>
      <c r="J17" s="862"/>
      <c r="K17" s="864"/>
      <c r="L17" s="856"/>
    </row>
    <row r="18" spans="2:12" ht="72" customHeight="1" x14ac:dyDescent="0.2">
      <c r="B18" s="853"/>
      <c r="C18" s="852"/>
      <c r="D18" s="852"/>
      <c r="E18" s="854"/>
      <c r="F18" s="855"/>
      <c r="G18" s="852"/>
      <c r="H18" s="852"/>
      <c r="I18" s="852"/>
      <c r="J18" s="863"/>
      <c r="K18" s="864"/>
      <c r="L18" s="856"/>
    </row>
    <row r="19" spans="2:12" ht="96" customHeight="1" x14ac:dyDescent="0.2">
      <c r="B19" s="217" t="s">
        <v>777</v>
      </c>
      <c r="C19" s="217" t="s">
        <v>359</v>
      </c>
      <c r="D19" s="217" t="s">
        <v>799</v>
      </c>
      <c r="E19" s="357" t="s">
        <v>800</v>
      </c>
      <c r="F19" s="855"/>
      <c r="G19" s="217" t="s">
        <v>311</v>
      </c>
      <c r="H19" s="217" t="s">
        <v>312</v>
      </c>
      <c r="I19" s="217" t="s">
        <v>313</v>
      </c>
      <c r="J19" s="219"/>
      <c r="K19" s="369">
        <v>8</v>
      </c>
      <c r="L19" s="370">
        <v>7</v>
      </c>
    </row>
    <row r="20" spans="2:12" ht="135" customHeight="1" x14ac:dyDescent="0.2">
      <c r="B20" s="217" t="s">
        <v>778</v>
      </c>
      <c r="C20" s="217" t="s">
        <v>801</v>
      </c>
      <c r="D20" s="217" t="s">
        <v>757</v>
      </c>
      <c r="E20" s="217" t="s">
        <v>314</v>
      </c>
      <c r="F20" s="852"/>
      <c r="G20" s="217" t="s">
        <v>311</v>
      </c>
      <c r="H20" s="217" t="s">
        <v>315</v>
      </c>
      <c r="I20" s="217" t="s">
        <v>316</v>
      </c>
      <c r="J20" s="219"/>
      <c r="K20" s="369">
        <v>9</v>
      </c>
      <c r="L20" s="370">
        <v>8</v>
      </c>
    </row>
    <row r="21" spans="2:12" ht="163.5" customHeight="1" x14ac:dyDescent="0.2">
      <c r="B21" s="217" t="s">
        <v>779</v>
      </c>
      <c r="C21" s="853" t="s">
        <v>317</v>
      </c>
      <c r="D21" s="217" t="s">
        <v>318</v>
      </c>
      <c r="E21" s="217" t="s">
        <v>319</v>
      </c>
      <c r="F21" s="217" t="s">
        <v>809</v>
      </c>
      <c r="G21" s="851" t="s">
        <v>802</v>
      </c>
      <c r="H21" s="851" t="s">
        <v>320</v>
      </c>
      <c r="I21" s="851" t="s">
        <v>321</v>
      </c>
      <c r="J21" s="219"/>
      <c r="K21" s="369">
        <v>10</v>
      </c>
      <c r="L21" s="370">
        <v>9</v>
      </c>
    </row>
    <row r="22" spans="2:12" ht="336.75" customHeight="1" x14ac:dyDescent="0.2">
      <c r="B22" s="217" t="s">
        <v>780</v>
      </c>
      <c r="C22" s="853"/>
      <c r="D22" s="217" t="s">
        <v>322</v>
      </c>
      <c r="E22" s="220" t="s">
        <v>323</v>
      </c>
      <c r="F22" s="357" t="s">
        <v>324</v>
      </c>
      <c r="G22" s="852"/>
      <c r="H22" s="852"/>
      <c r="I22" s="852"/>
      <c r="J22" s="219"/>
      <c r="K22" s="369">
        <v>11</v>
      </c>
      <c r="L22" s="370">
        <v>10</v>
      </c>
    </row>
    <row r="23" spans="2:12" ht="159" customHeight="1" x14ac:dyDescent="0.2">
      <c r="B23" s="217" t="s">
        <v>781</v>
      </c>
      <c r="C23" s="853"/>
      <c r="D23" s="217" t="s">
        <v>803</v>
      </c>
      <c r="E23" s="217" t="s">
        <v>325</v>
      </c>
      <c r="F23" s="217" t="s">
        <v>804</v>
      </c>
      <c r="G23" s="217" t="s">
        <v>326</v>
      </c>
      <c r="H23" s="217" t="s">
        <v>327</v>
      </c>
      <c r="I23" s="217" t="s">
        <v>328</v>
      </c>
      <c r="J23" s="218"/>
      <c r="K23" s="369">
        <v>12</v>
      </c>
      <c r="L23" s="370">
        <v>11</v>
      </c>
    </row>
    <row r="24" spans="2:12" ht="150" customHeight="1" x14ac:dyDescent="0.2">
      <c r="B24" s="217" t="s">
        <v>782</v>
      </c>
      <c r="C24" s="853" t="s">
        <v>329</v>
      </c>
      <c r="D24" s="217" t="s">
        <v>330</v>
      </c>
      <c r="E24" s="217" t="s">
        <v>331</v>
      </c>
      <c r="F24" s="221" t="s">
        <v>809</v>
      </c>
      <c r="G24" s="857" t="s">
        <v>332</v>
      </c>
      <c r="H24" s="858"/>
      <c r="I24" s="859"/>
      <c r="J24" s="218"/>
      <c r="K24" s="369">
        <v>13</v>
      </c>
      <c r="L24" s="370">
        <v>12</v>
      </c>
    </row>
    <row r="25" spans="2:12" ht="129" customHeight="1" x14ac:dyDescent="0.2">
      <c r="B25" s="217" t="s">
        <v>783</v>
      </c>
      <c r="C25" s="853"/>
      <c r="D25" s="217" t="s">
        <v>333</v>
      </c>
      <c r="E25" s="217" t="s">
        <v>334</v>
      </c>
      <c r="F25" s="217" t="s">
        <v>306</v>
      </c>
      <c r="G25" s="217" t="s">
        <v>335</v>
      </c>
      <c r="H25" s="217" t="s">
        <v>336</v>
      </c>
      <c r="I25" s="217" t="s">
        <v>337</v>
      </c>
      <c r="J25" s="218"/>
      <c r="K25" s="369">
        <v>15</v>
      </c>
      <c r="L25" s="370">
        <v>13</v>
      </c>
    </row>
    <row r="26" spans="2:12" ht="105.75" customHeight="1" x14ac:dyDescent="0.2">
      <c r="B26" s="217" t="s">
        <v>784</v>
      </c>
      <c r="C26" s="853"/>
      <c r="D26" s="217" t="s">
        <v>338</v>
      </c>
      <c r="E26" s="217" t="s">
        <v>339</v>
      </c>
      <c r="F26" s="217" t="s">
        <v>809</v>
      </c>
      <c r="G26" s="217" t="s">
        <v>340</v>
      </c>
      <c r="H26" s="217" t="s">
        <v>341</v>
      </c>
      <c r="I26" s="217" t="s">
        <v>342</v>
      </c>
      <c r="J26" s="218"/>
      <c r="K26" s="369">
        <v>16</v>
      </c>
      <c r="L26" s="370">
        <v>14</v>
      </c>
    </row>
    <row r="27" spans="2:12" ht="108" x14ac:dyDescent="0.2">
      <c r="B27" s="217" t="s">
        <v>785</v>
      </c>
      <c r="C27" s="853" t="s">
        <v>343</v>
      </c>
      <c r="D27" s="217" t="s">
        <v>805</v>
      </c>
      <c r="E27" s="217" t="s">
        <v>344</v>
      </c>
      <c r="F27" s="217" t="s">
        <v>345</v>
      </c>
      <c r="G27" s="217" t="s">
        <v>346</v>
      </c>
      <c r="H27" s="217" t="s">
        <v>347</v>
      </c>
      <c r="I27" s="217" t="s">
        <v>348</v>
      </c>
      <c r="J27" s="218"/>
      <c r="K27" s="369">
        <v>18</v>
      </c>
      <c r="L27" s="370">
        <v>15</v>
      </c>
    </row>
    <row r="28" spans="2:12" ht="69.75" customHeight="1" x14ac:dyDescent="0.2">
      <c r="B28" s="217" t="s">
        <v>786</v>
      </c>
      <c r="C28" s="854"/>
      <c r="D28" s="217" t="s">
        <v>349</v>
      </c>
      <c r="E28" s="217" t="s">
        <v>350</v>
      </c>
      <c r="F28" s="217" t="s">
        <v>809</v>
      </c>
      <c r="G28" s="857" t="s">
        <v>351</v>
      </c>
      <c r="H28" s="858"/>
      <c r="I28" s="859"/>
      <c r="J28" s="218"/>
      <c r="K28" s="369">
        <v>19</v>
      </c>
      <c r="L28" s="370">
        <v>16</v>
      </c>
    </row>
    <row r="29" spans="2:12" ht="108" customHeight="1" x14ac:dyDescent="0.2">
      <c r="B29" s="217" t="s">
        <v>787</v>
      </c>
      <c r="C29" s="217" t="s">
        <v>353</v>
      </c>
      <c r="D29" s="217" t="s">
        <v>354</v>
      </c>
      <c r="E29" s="217" t="s">
        <v>355</v>
      </c>
      <c r="F29" s="217" t="s">
        <v>809</v>
      </c>
      <c r="G29" s="217" t="s">
        <v>356</v>
      </c>
      <c r="H29" s="217" t="s">
        <v>357</v>
      </c>
      <c r="I29" s="217" t="s">
        <v>352</v>
      </c>
      <c r="J29" s="218"/>
      <c r="K29" s="369">
        <v>24</v>
      </c>
      <c r="L29" s="370">
        <v>17</v>
      </c>
    </row>
    <row r="30" spans="2:12" x14ac:dyDescent="0.2">
      <c r="B30" s="222"/>
      <c r="C30" s="388"/>
      <c r="D30" s="388"/>
      <c r="E30" s="222"/>
      <c r="F30" s="222"/>
      <c r="G30" s="222"/>
      <c r="H30" s="222"/>
      <c r="I30" s="222"/>
    </row>
    <row r="31" spans="2:12" x14ac:dyDescent="0.2">
      <c r="B31" s="222"/>
      <c r="C31" s="860">
        <v>1</v>
      </c>
      <c r="D31" s="388" t="s">
        <v>771</v>
      </c>
      <c r="F31" s="222"/>
      <c r="G31" s="222"/>
      <c r="H31" s="222"/>
      <c r="I31" s="222"/>
    </row>
    <row r="32" spans="2:12" x14ac:dyDescent="0.2">
      <c r="C32" s="860"/>
      <c r="D32" s="388" t="s">
        <v>358</v>
      </c>
    </row>
    <row r="33" spans="3:4" x14ac:dyDescent="0.2">
      <c r="C33" s="860"/>
      <c r="D33" s="388" t="s">
        <v>819</v>
      </c>
    </row>
    <row r="34" spans="3:4" x14ac:dyDescent="0.2">
      <c r="C34" s="860"/>
      <c r="D34" s="388" t="s">
        <v>825</v>
      </c>
    </row>
    <row r="35" spans="3:4" x14ac:dyDescent="0.2">
      <c r="C35" s="860"/>
      <c r="D35" s="388" t="s">
        <v>824</v>
      </c>
    </row>
    <row r="36" spans="3:4" x14ac:dyDescent="0.2">
      <c r="C36" s="860"/>
      <c r="D36" s="370">
        <v>3</v>
      </c>
    </row>
    <row r="37" spans="3:4" x14ac:dyDescent="0.2">
      <c r="C37" s="860">
        <v>2</v>
      </c>
      <c r="D37" s="388" t="s">
        <v>772</v>
      </c>
    </row>
    <row r="38" spans="3:4" x14ac:dyDescent="0.2">
      <c r="C38" s="860"/>
      <c r="D38" s="388" t="s">
        <v>358</v>
      </c>
    </row>
    <row r="39" spans="3:4" x14ac:dyDescent="0.2">
      <c r="C39" s="860"/>
      <c r="D39" s="388" t="s">
        <v>819</v>
      </c>
    </row>
    <row r="40" spans="3:4" x14ac:dyDescent="0.2">
      <c r="C40" s="860"/>
      <c r="D40" s="388" t="s">
        <v>825</v>
      </c>
    </row>
    <row r="41" spans="3:4" x14ac:dyDescent="0.2">
      <c r="C41" s="860"/>
      <c r="D41" s="388" t="s">
        <v>824</v>
      </c>
    </row>
    <row r="42" spans="3:4" x14ac:dyDescent="0.2">
      <c r="C42" s="860"/>
      <c r="D42" s="370">
        <v>3</v>
      </c>
    </row>
    <row r="43" spans="3:4" ht="24" x14ac:dyDescent="0.2">
      <c r="C43" s="860">
        <v>3</v>
      </c>
      <c r="D43" s="388" t="s">
        <v>773</v>
      </c>
    </row>
    <row r="44" spans="3:4" x14ac:dyDescent="0.2">
      <c r="C44" s="860"/>
      <c r="D44" s="388" t="s">
        <v>358</v>
      </c>
    </row>
    <row r="45" spans="3:4" x14ac:dyDescent="0.2">
      <c r="C45" s="860"/>
      <c r="D45" s="388" t="s">
        <v>819</v>
      </c>
    </row>
    <row r="46" spans="3:4" x14ac:dyDescent="0.2">
      <c r="C46" s="860"/>
      <c r="D46" s="388" t="s">
        <v>825</v>
      </c>
    </row>
    <row r="47" spans="3:4" x14ac:dyDescent="0.2">
      <c r="C47" s="860"/>
      <c r="D47" s="388" t="s">
        <v>824</v>
      </c>
    </row>
    <row r="48" spans="3:4" x14ac:dyDescent="0.2">
      <c r="C48" s="860"/>
      <c r="D48" s="370">
        <v>3</v>
      </c>
    </row>
    <row r="49" spans="3:4" x14ac:dyDescent="0.2">
      <c r="C49" s="860">
        <v>4</v>
      </c>
      <c r="D49" s="388" t="s">
        <v>807</v>
      </c>
    </row>
    <row r="50" spans="3:4" x14ac:dyDescent="0.2">
      <c r="C50" s="860"/>
      <c r="D50" s="388" t="s">
        <v>358</v>
      </c>
    </row>
    <row r="51" spans="3:4" x14ac:dyDescent="0.2">
      <c r="C51" s="860"/>
      <c r="D51" s="388" t="s">
        <v>819</v>
      </c>
    </row>
    <row r="52" spans="3:4" x14ac:dyDescent="0.2">
      <c r="C52" s="860"/>
      <c r="D52" s="388" t="s">
        <v>825</v>
      </c>
    </row>
    <row r="53" spans="3:4" x14ac:dyDescent="0.2">
      <c r="C53" s="860"/>
      <c r="D53" s="388" t="s">
        <v>824</v>
      </c>
    </row>
    <row r="54" spans="3:4" x14ac:dyDescent="0.2">
      <c r="C54" s="860"/>
      <c r="D54" s="370">
        <v>3</v>
      </c>
    </row>
    <row r="55" spans="3:4" ht="24" x14ac:dyDescent="0.2">
      <c r="C55" s="860">
        <v>5</v>
      </c>
      <c r="D55" s="388" t="s">
        <v>775</v>
      </c>
    </row>
    <row r="56" spans="3:4" x14ac:dyDescent="0.2">
      <c r="C56" s="860"/>
      <c r="D56" s="388" t="s">
        <v>358</v>
      </c>
    </row>
    <row r="57" spans="3:4" x14ac:dyDescent="0.2">
      <c r="C57" s="860"/>
      <c r="D57" s="388" t="s">
        <v>819</v>
      </c>
    </row>
    <row r="58" spans="3:4" x14ac:dyDescent="0.2">
      <c r="C58" s="860"/>
      <c r="D58" s="388" t="s">
        <v>825</v>
      </c>
    </row>
    <row r="59" spans="3:4" x14ac:dyDescent="0.2">
      <c r="C59" s="860"/>
      <c r="D59" s="388" t="s">
        <v>824</v>
      </c>
    </row>
    <row r="60" spans="3:4" x14ac:dyDescent="0.2">
      <c r="C60" s="860"/>
      <c r="D60" s="370">
        <v>3</v>
      </c>
    </row>
    <row r="61" spans="3:4" x14ac:dyDescent="0.2">
      <c r="C61" s="860">
        <v>6</v>
      </c>
      <c r="D61" s="389" t="s">
        <v>776</v>
      </c>
    </row>
    <row r="62" spans="3:4" x14ac:dyDescent="0.2">
      <c r="C62" s="860"/>
      <c r="D62" s="388" t="s">
        <v>358</v>
      </c>
    </row>
    <row r="63" spans="3:4" x14ac:dyDescent="0.2">
      <c r="C63" s="860"/>
      <c r="D63" s="388" t="s">
        <v>819</v>
      </c>
    </row>
    <row r="64" spans="3:4" x14ac:dyDescent="0.2">
      <c r="C64" s="860"/>
      <c r="D64" s="388" t="s">
        <v>825</v>
      </c>
    </row>
    <row r="65" spans="3:4" x14ac:dyDescent="0.2">
      <c r="C65" s="860"/>
      <c r="D65" s="388" t="s">
        <v>824</v>
      </c>
    </row>
    <row r="66" spans="3:4" x14ac:dyDescent="0.2">
      <c r="C66" s="860"/>
      <c r="D66" s="370">
        <v>3</v>
      </c>
    </row>
    <row r="67" spans="3:4" x14ac:dyDescent="0.2">
      <c r="C67" s="860">
        <v>7</v>
      </c>
      <c r="D67" s="388" t="s">
        <v>777</v>
      </c>
    </row>
    <row r="68" spans="3:4" x14ac:dyDescent="0.2">
      <c r="C68" s="860"/>
      <c r="D68" s="388" t="s">
        <v>358</v>
      </c>
    </row>
    <row r="69" spans="3:4" x14ac:dyDescent="0.2">
      <c r="C69" s="860"/>
      <c r="D69" s="388" t="s">
        <v>819</v>
      </c>
    </row>
    <row r="70" spans="3:4" x14ac:dyDescent="0.2">
      <c r="C70" s="860"/>
      <c r="D70" s="388" t="s">
        <v>825</v>
      </c>
    </row>
    <row r="71" spans="3:4" x14ac:dyDescent="0.2">
      <c r="C71" s="860"/>
      <c r="D71" s="388" t="s">
        <v>824</v>
      </c>
    </row>
    <row r="72" spans="3:4" x14ac:dyDescent="0.2">
      <c r="C72" s="860"/>
      <c r="D72" s="370">
        <v>3</v>
      </c>
    </row>
    <row r="73" spans="3:4" x14ac:dyDescent="0.2">
      <c r="C73" s="860">
        <v>8</v>
      </c>
      <c r="D73" s="388" t="s">
        <v>778</v>
      </c>
    </row>
    <row r="74" spans="3:4" x14ac:dyDescent="0.2">
      <c r="C74" s="860"/>
      <c r="D74" s="388" t="s">
        <v>358</v>
      </c>
    </row>
    <row r="75" spans="3:4" x14ac:dyDescent="0.2">
      <c r="C75" s="860"/>
      <c r="D75" s="388" t="s">
        <v>819</v>
      </c>
    </row>
    <row r="76" spans="3:4" x14ac:dyDescent="0.2">
      <c r="C76" s="860"/>
      <c r="D76" s="388" t="s">
        <v>825</v>
      </c>
    </row>
    <row r="77" spans="3:4" x14ac:dyDescent="0.2">
      <c r="C77" s="860"/>
      <c r="D77" s="388" t="s">
        <v>824</v>
      </c>
    </row>
    <row r="78" spans="3:4" x14ac:dyDescent="0.2">
      <c r="C78" s="860"/>
      <c r="D78" s="370">
        <v>3</v>
      </c>
    </row>
    <row r="79" spans="3:4" x14ac:dyDescent="0.2">
      <c r="C79" s="860">
        <v>9</v>
      </c>
      <c r="D79" s="388" t="s">
        <v>779</v>
      </c>
    </row>
    <row r="80" spans="3:4" x14ac:dyDescent="0.2">
      <c r="C80" s="860"/>
      <c r="D80" s="388" t="s">
        <v>358</v>
      </c>
    </row>
    <row r="81" spans="3:4" x14ac:dyDescent="0.2">
      <c r="C81" s="860"/>
      <c r="D81" s="388" t="s">
        <v>819</v>
      </c>
    </row>
    <row r="82" spans="3:4" x14ac:dyDescent="0.2">
      <c r="C82" s="860"/>
      <c r="D82" s="388" t="s">
        <v>825</v>
      </c>
    </row>
    <row r="83" spans="3:4" x14ac:dyDescent="0.2">
      <c r="C83" s="860"/>
      <c r="D83" s="388" t="s">
        <v>824</v>
      </c>
    </row>
    <row r="84" spans="3:4" x14ac:dyDescent="0.2">
      <c r="C84" s="860"/>
      <c r="D84" s="370">
        <v>3</v>
      </c>
    </row>
    <row r="85" spans="3:4" x14ac:dyDescent="0.2">
      <c r="C85" s="860">
        <v>10</v>
      </c>
      <c r="D85" s="388" t="s">
        <v>780</v>
      </c>
    </row>
    <row r="86" spans="3:4" x14ac:dyDescent="0.2">
      <c r="C86" s="860"/>
      <c r="D86" s="388" t="s">
        <v>358</v>
      </c>
    </row>
    <row r="87" spans="3:4" x14ac:dyDescent="0.2">
      <c r="C87" s="860"/>
      <c r="D87" s="388" t="s">
        <v>819</v>
      </c>
    </row>
    <row r="88" spans="3:4" x14ac:dyDescent="0.2">
      <c r="C88" s="860"/>
      <c r="D88" s="388" t="s">
        <v>825</v>
      </c>
    </row>
    <row r="89" spans="3:4" x14ac:dyDescent="0.2">
      <c r="C89" s="860"/>
      <c r="D89" s="388" t="s">
        <v>824</v>
      </c>
    </row>
    <row r="90" spans="3:4" x14ac:dyDescent="0.2">
      <c r="C90" s="860"/>
      <c r="D90" s="370">
        <v>3</v>
      </c>
    </row>
    <row r="91" spans="3:4" ht="22.5" customHeight="1" x14ac:dyDescent="0.2">
      <c r="C91" s="860">
        <v>11</v>
      </c>
      <c r="D91" s="388" t="s">
        <v>781</v>
      </c>
    </row>
    <row r="92" spans="3:4" x14ac:dyDescent="0.2">
      <c r="C92" s="860"/>
      <c r="D92" s="388" t="s">
        <v>358</v>
      </c>
    </row>
    <row r="93" spans="3:4" x14ac:dyDescent="0.2">
      <c r="C93" s="860"/>
      <c r="D93" s="388" t="s">
        <v>819</v>
      </c>
    </row>
    <row r="94" spans="3:4" x14ac:dyDescent="0.2">
      <c r="C94" s="860"/>
      <c r="D94" s="388" t="s">
        <v>825</v>
      </c>
    </row>
    <row r="95" spans="3:4" x14ac:dyDescent="0.2">
      <c r="C95" s="860"/>
      <c r="D95" s="388" t="s">
        <v>824</v>
      </c>
    </row>
    <row r="96" spans="3:4" x14ac:dyDescent="0.2">
      <c r="C96" s="860"/>
      <c r="D96" s="370">
        <v>3</v>
      </c>
    </row>
    <row r="97" spans="3:4" x14ac:dyDescent="0.2">
      <c r="C97" s="860">
        <v>12</v>
      </c>
      <c r="D97" s="388" t="s">
        <v>782</v>
      </c>
    </row>
    <row r="98" spans="3:4" x14ac:dyDescent="0.2">
      <c r="C98" s="860"/>
      <c r="D98" s="388" t="s">
        <v>358</v>
      </c>
    </row>
    <row r="99" spans="3:4" x14ac:dyDescent="0.2">
      <c r="C99" s="860"/>
      <c r="D99" s="388" t="s">
        <v>819</v>
      </c>
    </row>
    <row r="100" spans="3:4" x14ac:dyDescent="0.2">
      <c r="C100" s="860"/>
      <c r="D100" s="388" t="s">
        <v>825</v>
      </c>
    </row>
    <row r="101" spans="3:4" x14ac:dyDescent="0.2">
      <c r="C101" s="860"/>
      <c r="D101" s="388" t="s">
        <v>824</v>
      </c>
    </row>
    <row r="102" spans="3:4" x14ac:dyDescent="0.2">
      <c r="C102" s="860"/>
      <c r="D102" s="370">
        <v>3</v>
      </c>
    </row>
    <row r="103" spans="3:4" ht="24" x14ac:dyDescent="0.2">
      <c r="C103" s="860">
        <v>13</v>
      </c>
      <c r="D103" s="388" t="s">
        <v>783</v>
      </c>
    </row>
    <row r="104" spans="3:4" x14ac:dyDescent="0.2">
      <c r="C104" s="860"/>
      <c r="D104" s="388" t="s">
        <v>358</v>
      </c>
    </row>
    <row r="105" spans="3:4" x14ac:dyDescent="0.2">
      <c r="C105" s="860"/>
      <c r="D105" s="388" t="s">
        <v>819</v>
      </c>
    </row>
    <row r="106" spans="3:4" x14ac:dyDescent="0.2">
      <c r="C106" s="860"/>
      <c r="D106" s="388" t="s">
        <v>825</v>
      </c>
    </row>
    <row r="107" spans="3:4" x14ac:dyDescent="0.2">
      <c r="C107" s="860"/>
      <c r="D107" s="388" t="s">
        <v>824</v>
      </c>
    </row>
    <row r="108" spans="3:4" x14ac:dyDescent="0.2">
      <c r="C108" s="860"/>
      <c r="D108" s="370">
        <v>3</v>
      </c>
    </row>
    <row r="109" spans="3:4" x14ac:dyDescent="0.2">
      <c r="C109" s="860">
        <v>14</v>
      </c>
      <c r="D109" s="388" t="s">
        <v>784</v>
      </c>
    </row>
    <row r="110" spans="3:4" x14ac:dyDescent="0.2">
      <c r="C110" s="860"/>
      <c r="D110" s="388" t="s">
        <v>358</v>
      </c>
    </row>
    <row r="111" spans="3:4" x14ac:dyDescent="0.2">
      <c r="C111" s="860"/>
      <c r="D111" s="388" t="s">
        <v>819</v>
      </c>
    </row>
    <row r="112" spans="3:4" x14ac:dyDescent="0.2">
      <c r="C112" s="860"/>
      <c r="D112" s="388" t="s">
        <v>825</v>
      </c>
    </row>
    <row r="113" spans="3:4" x14ac:dyDescent="0.2">
      <c r="C113" s="860"/>
      <c r="D113" s="388" t="s">
        <v>824</v>
      </c>
    </row>
    <row r="114" spans="3:4" x14ac:dyDescent="0.2">
      <c r="C114" s="860"/>
      <c r="D114" s="370">
        <v>3</v>
      </c>
    </row>
    <row r="115" spans="3:4" x14ac:dyDescent="0.2">
      <c r="C115" s="860">
        <v>15</v>
      </c>
      <c r="D115" s="388" t="s">
        <v>785</v>
      </c>
    </row>
    <row r="116" spans="3:4" x14ac:dyDescent="0.2">
      <c r="C116" s="860"/>
      <c r="D116" s="388" t="s">
        <v>358</v>
      </c>
    </row>
    <row r="117" spans="3:4" x14ac:dyDescent="0.2">
      <c r="C117" s="860"/>
      <c r="D117" s="388" t="s">
        <v>819</v>
      </c>
    </row>
    <row r="118" spans="3:4" x14ac:dyDescent="0.2">
      <c r="C118" s="860"/>
      <c r="D118" s="388" t="s">
        <v>825</v>
      </c>
    </row>
    <row r="119" spans="3:4" x14ac:dyDescent="0.2">
      <c r="C119" s="860"/>
      <c r="D119" s="388" t="s">
        <v>824</v>
      </c>
    </row>
    <row r="120" spans="3:4" x14ac:dyDescent="0.2">
      <c r="C120" s="860"/>
      <c r="D120" s="370">
        <v>3</v>
      </c>
    </row>
    <row r="121" spans="3:4" x14ac:dyDescent="0.2">
      <c r="C121" s="860">
        <v>16</v>
      </c>
      <c r="D121" s="388" t="s">
        <v>786</v>
      </c>
    </row>
    <row r="122" spans="3:4" x14ac:dyDescent="0.2">
      <c r="C122" s="860"/>
      <c r="D122" s="388" t="s">
        <v>358</v>
      </c>
    </row>
    <row r="123" spans="3:4" x14ac:dyDescent="0.2">
      <c r="C123" s="860"/>
      <c r="D123" s="388" t="s">
        <v>819</v>
      </c>
    </row>
    <row r="124" spans="3:4" x14ac:dyDescent="0.2">
      <c r="C124" s="860"/>
      <c r="D124" s="388" t="s">
        <v>825</v>
      </c>
    </row>
    <row r="125" spans="3:4" x14ac:dyDescent="0.2">
      <c r="C125" s="860"/>
      <c r="D125" s="388" t="s">
        <v>824</v>
      </c>
    </row>
    <row r="126" spans="3:4" x14ac:dyDescent="0.2">
      <c r="C126" s="860"/>
      <c r="D126" s="370">
        <v>3</v>
      </c>
    </row>
    <row r="127" spans="3:4" ht="24" x14ac:dyDescent="0.2">
      <c r="C127" s="860">
        <v>17</v>
      </c>
      <c r="D127" s="388" t="s">
        <v>787</v>
      </c>
    </row>
    <row r="128" spans="3:4" x14ac:dyDescent="0.2">
      <c r="C128" s="860"/>
      <c r="D128" s="388" t="s">
        <v>358</v>
      </c>
    </row>
    <row r="129" spans="3:4" x14ac:dyDescent="0.2">
      <c r="C129" s="860"/>
      <c r="D129" s="388" t="s">
        <v>819</v>
      </c>
    </row>
    <row r="130" spans="3:4" x14ac:dyDescent="0.2">
      <c r="C130" s="860"/>
      <c r="D130" s="388" t="s">
        <v>825</v>
      </c>
    </row>
    <row r="131" spans="3:4" x14ac:dyDescent="0.2">
      <c r="C131" s="860"/>
      <c r="D131" s="388" t="s">
        <v>824</v>
      </c>
    </row>
    <row r="132" spans="3:4" x14ac:dyDescent="0.2">
      <c r="C132" s="860"/>
      <c r="D132" s="370">
        <v>3</v>
      </c>
    </row>
  </sheetData>
  <mergeCells count="39">
    <mergeCell ref="C115:C120"/>
    <mergeCell ref="C121:C126"/>
    <mergeCell ref="C127:C132"/>
    <mergeCell ref="C79:C84"/>
    <mergeCell ref="C85:C90"/>
    <mergeCell ref="C91:C96"/>
    <mergeCell ref="C97:C102"/>
    <mergeCell ref="C103:C108"/>
    <mergeCell ref="C109:C114"/>
    <mergeCell ref="C73:C78"/>
    <mergeCell ref="G24:I24"/>
    <mergeCell ref="H13:H18"/>
    <mergeCell ref="J13:J18"/>
    <mergeCell ref="K13:K18"/>
    <mergeCell ref="C31:C36"/>
    <mergeCell ref="C37:C42"/>
    <mergeCell ref="C43:C48"/>
    <mergeCell ref="C49:C54"/>
    <mergeCell ref="C55:C60"/>
    <mergeCell ref="C61:C66"/>
    <mergeCell ref="C67:C72"/>
    <mergeCell ref="B13:B18"/>
    <mergeCell ref="C27:C28"/>
    <mergeCell ref="G28:I28"/>
    <mergeCell ref="C21:C23"/>
    <mergeCell ref="H21:H22"/>
    <mergeCell ref="I21:I22"/>
    <mergeCell ref="C13:C18"/>
    <mergeCell ref="D13:D18"/>
    <mergeCell ref="C24:C26"/>
    <mergeCell ref="G21:G22"/>
    <mergeCell ref="L2:O2"/>
    <mergeCell ref="C8:C9"/>
    <mergeCell ref="C11:C12"/>
    <mergeCell ref="F13:F20"/>
    <mergeCell ref="E13:E18"/>
    <mergeCell ref="I13:I18"/>
    <mergeCell ref="G13:G18"/>
    <mergeCell ref="L13:L18"/>
  </mergeCells>
  <pageMargins left="0.511811024" right="0.511811024" top="0.78740157499999996" bottom="0.78740157499999996" header="0.31496062000000002" footer="0.31496062000000002"/>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Drop Down 1">
              <controlPr defaultSize="0" autoLine="0" autoPict="0">
                <anchor moveWithCells="1" sizeWithCells="1">
                  <from>
                    <xdr:col>9</xdr:col>
                    <xdr:colOff>9525</xdr:colOff>
                    <xdr:row>7</xdr:row>
                    <xdr:rowOff>685800</xdr:rowOff>
                  </from>
                  <to>
                    <xdr:col>10</xdr:col>
                    <xdr:colOff>28575</xdr:colOff>
                    <xdr:row>7</xdr:row>
                    <xdr:rowOff>895350</xdr:rowOff>
                  </to>
                </anchor>
              </controlPr>
            </control>
          </mc:Choice>
        </mc:AlternateContent>
        <mc:AlternateContent xmlns:mc="http://schemas.openxmlformats.org/markup-compatibility/2006">
          <mc:Choice Requires="x14">
            <control shapeId="35842" r:id="rId5" name="Drop Down 2">
              <controlPr defaultSize="0" autoLine="0" autoPict="0">
                <anchor moveWithCells="1" sizeWithCells="1">
                  <from>
                    <xdr:col>9</xdr:col>
                    <xdr:colOff>9525</xdr:colOff>
                    <xdr:row>8</xdr:row>
                    <xdr:rowOff>685800</xdr:rowOff>
                  </from>
                  <to>
                    <xdr:col>10</xdr:col>
                    <xdr:colOff>28575</xdr:colOff>
                    <xdr:row>8</xdr:row>
                    <xdr:rowOff>895350</xdr:rowOff>
                  </to>
                </anchor>
              </controlPr>
            </control>
          </mc:Choice>
        </mc:AlternateContent>
        <mc:AlternateContent xmlns:mc="http://schemas.openxmlformats.org/markup-compatibility/2006">
          <mc:Choice Requires="x14">
            <control shapeId="35843" r:id="rId6" name="Drop Down 3">
              <controlPr defaultSize="0" autoLine="0" autoPict="0">
                <anchor moveWithCells="1" sizeWithCells="1">
                  <from>
                    <xdr:col>9</xdr:col>
                    <xdr:colOff>9525</xdr:colOff>
                    <xdr:row>9</xdr:row>
                    <xdr:rowOff>685800</xdr:rowOff>
                  </from>
                  <to>
                    <xdr:col>10</xdr:col>
                    <xdr:colOff>28575</xdr:colOff>
                    <xdr:row>9</xdr:row>
                    <xdr:rowOff>895350</xdr:rowOff>
                  </to>
                </anchor>
              </controlPr>
            </control>
          </mc:Choice>
        </mc:AlternateContent>
        <mc:AlternateContent xmlns:mc="http://schemas.openxmlformats.org/markup-compatibility/2006">
          <mc:Choice Requires="x14">
            <control shapeId="35844" r:id="rId7" name="Drop Down 4">
              <controlPr defaultSize="0" autoLine="0" autoPict="0">
                <anchor moveWithCells="1" sizeWithCells="1">
                  <from>
                    <xdr:col>9</xdr:col>
                    <xdr:colOff>9525</xdr:colOff>
                    <xdr:row>11</xdr:row>
                    <xdr:rowOff>685800</xdr:rowOff>
                  </from>
                  <to>
                    <xdr:col>10</xdr:col>
                    <xdr:colOff>28575</xdr:colOff>
                    <xdr:row>11</xdr:row>
                    <xdr:rowOff>895350</xdr:rowOff>
                  </to>
                </anchor>
              </controlPr>
            </control>
          </mc:Choice>
        </mc:AlternateContent>
        <mc:AlternateContent xmlns:mc="http://schemas.openxmlformats.org/markup-compatibility/2006">
          <mc:Choice Requires="x14">
            <control shapeId="35845" r:id="rId8" name="Drop Down 5">
              <controlPr defaultSize="0" autoLine="0" autoPict="0">
                <anchor moveWithCells="1" sizeWithCells="1">
                  <from>
                    <xdr:col>9</xdr:col>
                    <xdr:colOff>9525</xdr:colOff>
                    <xdr:row>10</xdr:row>
                    <xdr:rowOff>295275</xdr:rowOff>
                  </from>
                  <to>
                    <xdr:col>10</xdr:col>
                    <xdr:colOff>28575</xdr:colOff>
                    <xdr:row>10</xdr:row>
                    <xdr:rowOff>504825</xdr:rowOff>
                  </to>
                </anchor>
              </controlPr>
            </control>
          </mc:Choice>
        </mc:AlternateContent>
        <mc:AlternateContent xmlns:mc="http://schemas.openxmlformats.org/markup-compatibility/2006">
          <mc:Choice Requires="x14">
            <control shapeId="35846" r:id="rId9" name="Drop Down 6">
              <controlPr defaultSize="0" autoLine="0" autoPict="0">
                <anchor moveWithCells="1" sizeWithCells="1">
                  <from>
                    <xdr:col>9</xdr:col>
                    <xdr:colOff>9525</xdr:colOff>
                    <xdr:row>13</xdr:row>
                    <xdr:rowOff>9525</xdr:rowOff>
                  </from>
                  <to>
                    <xdr:col>10</xdr:col>
                    <xdr:colOff>28575</xdr:colOff>
                    <xdr:row>13</xdr:row>
                    <xdr:rowOff>200025</xdr:rowOff>
                  </to>
                </anchor>
              </controlPr>
            </control>
          </mc:Choice>
        </mc:AlternateContent>
        <mc:AlternateContent xmlns:mc="http://schemas.openxmlformats.org/markup-compatibility/2006">
          <mc:Choice Requires="x14">
            <control shapeId="35848" r:id="rId10" name="Drop Down 8">
              <controlPr defaultSize="0" autoLine="0" autoPict="0">
                <anchor moveWithCells="1" sizeWithCells="1">
                  <from>
                    <xdr:col>9</xdr:col>
                    <xdr:colOff>9525</xdr:colOff>
                    <xdr:row>23</xdr:row>
                    <xdr:rowOff>190500</xdr:rowOff>
                  </from>
                  <to>
                    <xdr:col>10</xdr:col>
                    <xdr:colOff>28575</xdr:colOff>
                    <xdr:row>23</xdr:row>
                    <xdr:rowOff>381000</xdr:rowOff>
                  </to>
                </anchor>
              </controlPr>
            </control>
          </mc:Choice>
        </mc:AlternateContent>
        <mc:AlternateContent xmlns:mc="http://schemas.openxmlformats.org/markup-compatibility/2006">
          <mc:Choice Requires="x14">
            <control shapeId="35850" r:id="rId11" name="Drop Down 10">
              <controlPr defaultSize="0" autoLine="0" autoPict="0">
                <anchor moveWithCells="1" sizeWithCells="1">
                  <from>
                    <xdr:col>9</xdr:col>
                    <xdr:colOff>9525</xdr:colOff>
                    <xdr:row>24</xdr:row>
                    <xdr:rowOff>361950</xdr:rowOff>
                  </from>
                  <to>
                    <xdr:col>10</xdr:col>
                    <xdr:colOff>28575</xdr:colOff>
                    <xdr:row>24</xdr:row>
                    <xdr:rowOff>571500</xdr:rowOff>
                  </to>
                </anchor>
              </controlPr>
            </control>
          </mc:Choice>
        </mc:AlternateContent>
        <mc:AlternateContent xmlns:mc="http://schemas.openxmlformats.org/markup-compatibility/2006">
          <mc:Choice Requires="x14">
            <control shapeId="35852" r:id="rId12" name="Drop Down 12">
              <controlPr defaultSize="0" autoLine="0" autoPict="0">
                <anchor moveWithCells="1" sizeWithCells="1">
                  <from>
                    <xdr:col>9</xdr:col>
                    <xdr:colOff>9525</xdr:colOff>
                    <xdr:row>25</xdr:row>
                    <xdr:rowOff>381000</xdr:rowOff>
                  </from>
                  <to>
                    <xdr:col>10</xdr:col>
                    <xdr:colOff>28575</xdr:colOff>
                    <xdr:row>25</xdr:row>
                    <xdr:rowOff>590550</xdr:rowOff>
                  </to>
                </anchor>
              </controlPr>
            </control>
          </mc:Choice>
        </mc:AlternateContent>
        <mc:AlternateContent xmlns:mc="http://schemas.openxmlformats.org/markup-compatibility/2006">
          <mc:Choice Requires="x14">
            <control shapeId="35853" r:id="rId13" name="Drop Down 13">
              <controlPr defaultSize="0" autoLine="0" autoPict="0">
                <anchor moveWithCells="1" sizeWithCells="1">
                  <from>
                    <xdr:col>9</xdr:col>
                    <xdr:colOff>9525</xdr:colOff>
                    <xdr:row>27</xdr:row>
                    <xdr:rowOff>171450</xdr:rowOff>
                  </from>
                  <to>
                    <xdr:col>10</xdr:col>
                    <xdr:colOff>28575</xdr:colOff>
                    <xdr:row>27</xdr:row>
                    <xdr:rowOff>381000</xdr:rowOff>
                  </to>
                </anchor>
              </controlPr>
            </control>
          </mc:Choice>
        </mc:AlternateContent>
        <mc:AlternateContent xmlns:mc="http://schemas.openxmlformats.org/markup-compatibility/2006">
          <mc:Choice Requires="x14">
            <control shapeId="35858" r:id="rId14" name="Drop Down 18">
              <controlPr defaultSize="0" autoLine="0" autoPict="0">
                <anchor moveWithCells="1" sizeWithCells="1">
                  <from>
                    <xdr:col>9</xdr:col>
                    <xdr:colOff>9525</xdr:colOff>
                    <xdr:row>28</xdr:row>
                    <xdr:rowOff>323850</xdr:rowOff>
                  </from>
                  <to>
                    <xdr:col>10</xdr:col>
                    <xdr:colOff>28575</xdr:colOff>
                    <xdr:row>28</xdr:row>
                    <xdr:rowOff>533400</xdr:rowOff>
                  </to>
                </anchor>
              </controlPr>
            </control>
          </mc:Choice>
        </mc:AlternateContent>
        <mc:AlternateContent xmlns:mc="http://schemas.openxmlformats.org/markup-compatibility/2006">
          <mc:Choice Requires="x14">
            <control shapeId="35860" r:id="rId15" name="Drop Down 20">
              <controlPr defaultSize="0" autoLine="0" autoPict="0">
                <anchor moveWithCells="1" sizeWithCells="1">
                  <from>
                    <xdr:col>9</xdr:col>
                    <xdr:colOff>9525</xdr:colOff>
                    <xdr:row>18</xdr:row>
                    <xdr:rowOff>323850</xdr:rowOff>
                  </from>
                  <to>
                    <xdr:col>10</xdr:col>
                    <xdr:colOff>28575</xdr:colOff>
                    <xdr:row>18</xdr:row>
                    <xdr:rowOff>533400</xdr:rowOff>
                  </to>
                </anchor>
              </controlPr>
            </control>
          </mc:Choice>
        </mc:AlternateContent>
        <mc:AlternateContent xmlns:mc="http://schemas.openxmlformats.org/markup-compatibility/2006">
          <mc:Choice Requires="x14">
            <control shapeId="35861" r:id="rId16" name="Drop Down 21">
              <controlPr defaultSize="0" autoLine="0" autoPict="0">
                <anchor moveWithCells="1" sizeWithCells="1">
                  <from>
                    <xdr:col>9</xdr:col>
                    <xdr:colOff>9525</xdr:colOff>
                    <xdr:row>19</xdr:row>
                    <xdr:rowOff>428625</xdr:rowOff>
                  </from>
                  <to>
                    <xdr:col>10</xdr:col>
                    <xdr:colOff>28575</xdr:colOff>
                    <xdr:row>19</xdr:row>
                    <xdr:rowOff>638175</xdr:rowOff>
                  </to>
                </anchor>
              </controlPr>
            </control>
          </mc:Choice>
        </mc:AlternateContent>
        <mc:AlternateContent xmlns:mc="http://schemas.openxmlformats.org/markup-compatibility/2006">
          <mc:Choice Requires="x14">
            <control shapeId="35862" r:id="rId17" name="Drop Down 22">
              <controlPr defaultSize="0" autoLine="0" autoPict="0">
                <anchor moveWithCells="1" sizeWithCells="1">
                  <from>
                    <xdr:col>9</xdr:col>
                    <xdr:colOff>9525</xdr:colOff>
                    <xdr:row>20</xdr:row>
                    <xdr:rowOff>428625</xdr:rowOff>
                  </from>
                  <to>
                    <xdr:col>10</xdr:col>
                    <xdr:colOff>28575</xdr:colOff>
                    <xdr:row>20</xdr:row>
                    <xdr:rowOff>638175</xdr:rowOff>
                  </to>
                </anchor>
              </controlPr>
            </control>
          </mc:Choice>
        </mc:AlternateContent>
        <mc:AlternateContent xmlns:mc="http://schemas.openxmlformats.org/markup-compatibility/2006">
          <mc:Choice Requires="x14">
            <control shapeId="35863" r:id="rId18" name="Drop Down 23">
              <controlPr defaultSize="0" autoLine="0" autoPict="0">
                <anchor moveWithCells="1" sizeWithCells="1">
                  <from>
                    <xdr:col>9</xdr:col>
                    <xdr:colOff>9525</xdr:colOff>
                    <xdr:row>26</xdr:row>
                    <xdr:rowOff>247650</xdr:rowOff>
                  </from>
                  <to>
                    <xdr:col>10</xdr:col>
                    <xdr:colOff>28575</xdr:colOff>
                    <xdr:row>26</xdr:row>
                    <xdr:rowOff>457200</xdr:rowOff>
                  </to>
                </anchor>
              </controlPr>
            </control>
          </mc:Choice>
        </mc:AlternateContent>
        <mc:AlternateContent xmlns:mc="http://schemas.openxmlformats.org/markup-compatibility/2006">
          <mc:Choice Requires="x14">
            <control shapeId="35864" r:id="rId19" name="Drop Down 24">
              <controlPr defaultSize="0" autoLine="0" autoPict="0">
                <anchor moveWithCells="1" sizeWithCells="1">
                  <from>
                    <xdr:col>9</xdr:col>
                    <xdr:colOff>9525</xdr:colOff>
                    <xdr:row>21</xdr:row>
                    <xdr:rowOff>438150</xdr:rowOff>
                  </from>
                  <to>
                    <xdr:col>10</xdr:col>
                    <xdr:colOff>28575</xdr:colOff>
                    <xdr:row>21</xdr:row>
                    <xdr:rowOff>638175</xdr:rowOff>
                  </to>
                </anchor>
              </controlPr>
            </control>
          </mc:Choice>
        </mc:AlternateContent>
        <mc:AlternateContent xmlns:mc="http://schemas.openxmlformats.org/markup-compatibility/2006">
          <mc:Choice Requires="x14">
            <control shapeId="35865" r:id="rId20" name="Drop Down 25">
              <controlPr defaultSize="0" autoLine="0" autoPict="0">
                <anchor moveWithCells="1" sizeWithCells="1">
                  <from>
                    <xdr:col>9</xdr:col>
                    <xdr:colOff>9525</xdr:colOff>
                    <xdr:row>22</xdr:row>
                    <xdr:rowOff>428625</xdr:rowOff>
                  </from>
                  <to>
                    <xdr:col>10</xdr:col>
                    <xdr:colOff>28575</xdr:colOff>
                    <xdr:row>22</xdr:row>
                    <xdr:rowOff>638175</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Planilha44">
    <tabColor theme="4" tint="0.39997558519241921"/>
  </sheetPr>
  <dimension ref="A1:AA34"/>
  <sheetViews>
    <sheetView topLeftCell="A7" workbookViewId="0">
      <selection activeCell="I25" sqref="I25"/>
    </sheetView>
  </sheetViews>
  <sheetFormatPr defaultColWidth="11.42578125" defaultRowHeight="12.75" x14ac:dyDescent="0.2"/>
  <cols>
    <col min="1" max="1" width="9.28515625" style="190" customWidth="1"/>
    <col min="2" max="2" width="38.42578125" style="190" customWidth="1"/>
    <col min="3" max="3" width="13" style="190" customWidth="1"/>
    <col min="4" max="4" width="22.42578125" style="190" customWidth="1"/>
    <col min="5" max="5" width="14.28515625" style="190" bestFit="1" customWidth="1"/>
    <col min="6" max="6" width="9.7109375" style="190" bestFit="1" customWidth="1"/>
    <col min="7" max="7" width="11.42578125" style="190" customWidth="1"/>
    <col min="8" max="8" width="17" style="190" bestFit="1" customWidth="1"/>
    <col min="9" max="9" width="16.42578125" style="190" bestFit="1" customWidth="1"/>
    <col min="10" max="10" width="25.42578125" style="190" customWidth="1"/>
    <col min="11" max="11" width="14.42578125" style="190" customWidth="1"/>
    <col min="12" max="12" width="12" style="190" bestFit="1" customWidth="1"/>
    <col min="13" max="13" width="25.42578125" style="190" customWidth="1"/>
    <col min="14" max="16384" width="11.42578125" style="190"/>
  </cols>
  <sheetData>
    <row r="1" spans="1:27" x14ac:dyDescent="0.2">
      <c r="A1" s="306" t="s">
        <v>873</v>
      </c>
    </row>
    <row r="2" spans="1:27" ht="15" x14ac:dyDescent="0.2">
      <c r="A2" s="213" t="s">
        <v>360</v>
      </c>
      <c r="B2" s="214" t="s">
        <v>361</v>
      </c>
    </row>
    <row r="3" spans="1:27" ht="13.5" thickBot="1" x14ac:dyDescent="0.25"/>
    <row r="4" spans="1:27" ht="15.75" thickBot="1" x14ac:dyDescent="0.25">
      <c r="A4" s="223"/>
      <c r="B4" s="224" t="s">
        <v>259</v>
      </c>
      <c r="C4" s="225" t="s">
        <v>362</v>
      </c>
      <c r="D4" s="225" t="s">
        <v>363</v>
      </c>
      <c r="E4" s="225" t="s">
        <v>364</v>
      </c>
      <c r="F4" s="225" t="s">
        <v>365</v>
      </c>
      <c r="H4" s="844" t="s">
        <v>83</v>
      </c>
      <c r="I4" s="845"/>
      <c r="J4" s="845"/>
      <c r="K4" s="846"/>
    </row>
    <row r="5" spans="1:27" ht="15" x14ac:dyDescent="0.25">
      <c r="A5" s="223"/>
      <c r="B5" s="263" t="s">
        <v>771</v>
      </c>
      <c r="C5" s="225">
        <f>IF('A.XV. RPS (DetalhadoI)'!D36=1,'A.XV. RPS (Base Num)'!B3,IF('A.XV. RPS (DetalhadoI)'!D36=2,'A.XV. RPS (Base Num)'!D3,IF('A.XV. RPS (DetalhadoI)'!D36=3,'A.XV. RPS (Base Num)'!F3,'A.XV. RPS (Base Num)'!H3)))</f>
        <v>0.70242590308181285</v>
      </c>
      <c r="D5" s="393">
        <f>IF('A.XV. RPS (DetalhadoI)'!D36=1,0,IF('A.XV. RPS (DetalhadoI)'!D36=2,'A.XV. RPS (Base Num)'!E3,IF('A.XV. RPS (DetalhadoI)'!D36=3,'A.XV. RPS (Base Num)'!G3,'A.XV. RPS (Base Num)'!I3)))</f>
        <v>0.22</v>
      </c>
      <c r="E5" s="226">
        <f>D5*C5/1.64</f>
        <v>9.4227865047560269E-2</v>
      </c>
      <c r="F5" s="226">
        <f>E5^2</f>
        <v>8.8788905514212303E-3</v>
      </c>
      <c r="H5" s="193"/>
      <c r="I5" s="194"/>
      <c r="J5" s="194"/>
      <c r="K5" s="195"/>
    </row>
    <row r="6" spans="1:27" ht="15" x14ac:dyDescent="0.25">
      <c r="A6" s="223"/>
      <c r="B6" s="263" t="s">
        <v>772</v>
      </c>
      <c r="C6" s="225">
        <f>IF('A.XV. RPS (DetalhadoI)'!D42=1,'A.XV. RPS (Base Num)'!B4,IF('A.XV. RPS (DetalhadoI)'!D42=2,'A.XV. RPS (Base Num)'!D4,IF('A.XV. RPS (DetalhadoI)'!D42=3,'A.XV. RPS (Base Num)'!F4,'A.XV. RPS (Base Num)'!H4)))</f>
        <v>2.2535513090581718</v>
      </c>
      <c r="D6" s="393">
        <f>IF('A.XV. RPS (DetalhadoI)'!D42=1,0,IF('A.XV. RPS (DetalhadoI)'!D42=2,'A.XV. RPS (Base Num)'!E4,IF('A.XV. RPS (DetalhadoI)'!D42=3,'A.XV. RPS (Base Num)'!G4,'A.XV. RPS (Base Num)'!I4)))</f>
        <v>0.15</v>
      </c>
      <c r="E6" s="226">
        <f t="shared" ref="E6:E21" si="0">D6*C6/1.64</f>
        <v>0.20611749777971083</v>
      </c>
      <c r="F6" s="226">
        <f t="shared" ref="F6:F21" si="1">E6^2</f>
        <v>4.2484422890969098E-2</v>
      </c>
      <c r="H6" s="197"/>
      <c r="I6" s="2"/>
      <c r="J6" s="198" t="s">
        <v>81</v>
      </c>
      <c r="K6" s="199"/>
    </row>
    <row r="7" spans="1:27" ht="24" x14ac:dyDescent="0.25">
      <c r="A7" s="223"/>
      <c r="B7" s="262" t="s">
        <v>773</v>
      </c>
      <c r="C7" s="225">
        <f>IF('A.XV. RPS (DetalhadoI)'!D48=1,'A.XV. RPS (Base Num)'!B5,IF('A.XV. RPS (DetalhadoI)'!D48=2,'A.XV. RPS (Base Num)'!D5,IF('A.XV. RPS (DetalhadoI)'!D48=3,'A.XV. RPS (Base Num)'!F5,'A.XV. RPS (Base Num)'!H5)))</f>
        <v>60.232743096489806</v>
      </c>
      <c r="D7" s="393">
        <f>IF('A.XV. RPS (DetalhadoI)'!D48=1,0,IF('A.XV. RPS (DetalhadoI)'!D48=2,'A.XV. RPS (Base Num)'!E5,IF('A.XV. RPS (DetalhadoI)'!D48=3,'A.XV. RPS (Base Num)'!G5,'A.XV. RPS (Base Num)'!I5)))</f>
        <v>0.06</v>
      </c>
      <c r="E7" s="226">
        <f t="shared" si="0"/>
        <v>2.203636942554505</v>
      </c>
      <c r="F7" s="226">
        <f t="shared" si="1"/>
        <v>4.8560157745909667</v>
      </c>
      <c r="H7" s="197"/>
      <c r="I7" s="4"/>
      <c r="J7" s="198" t="s">
        <v>93</v>
      </c>
      <c r="K7" s="199"/>
    </row>
    <row r="8" spans="1:27" ht="15" x14ac:dyDescent="0.25">
      <c r="A8" s="223"/>
      <c r="B8" s="260" t="s">
        <v>807</v>
      </c>
      <c r="C8" s="225">
        <f>IF('A.XV. RPS (DetalhadoI)'!D54=1,'A.XV. RPS (Base Num)'!B6,IF('A.XV. RPS (DetalhadoI)'!D54=2,'A.XV. RPS (Base Num)'!F6,IF('A.XV. RPS (DetalhadoI)'!D54=3,'A.XV. RPS (Base Num)'!F6,'A.XV. RPS (Base Num)'!H6)))</f>
        <v>0.70242590308181285</v>
      </c>
      <c r="D8" s="393">
        <f>IF('A.XV. RPS (DetalhadoI)'!D54=1,0,IF('A.XV. RPS (DetalhadoI)'!D54=2,'A.XV. RPS (Base Num)'!E6,IF('A.XV. RPS (DetalhadoI)'!D54=3,'A.XV. RPS (Base Num)'!G6,'A.XV. RPS (Base Num)'!I6)))</f>
        <v>7.0000000000000007E-2</v>
      </c>
      <c r="E8" s="226">
        <f t="shared" si="0"/>
        <v>2.9981593424223723E-2</v>
      </c>
      <c r="F8" s="226">
        <f t="shared" si="1"/>
        <v>8.9889594425545522E-4</v>
      </c>
      <c r="H8" s="197"/>
      <c r="I8" s="43"/>
      <c r="J8" s="198" t="s">
        <v>82</v>
      </c>
      <c r="K8" s="199"/>
    </row>
    <row r="9" spans="1:27" ht="15.75" thickBot="1" x14ac:dyDescent="0.3">
      <c r="A9" s="223"/>
      <c r="B9" s="260" t="s">
        <v>775</v>
      </c>
      <c r="C9" s="225">
        <f>IF('A.XV. RPS (DetalhadoI)'!D60=1,'A.XV. RPS (Base Num)'!B7,IF('A.XV. RPS (DetalhadoI)'!D60=2,'A.XV. RPS (Base Num)'!D7,IF('A.XV. RPS (DetalhadoI)'!D60=3,'A.XV. RPS (Base Num)'!F7,'A.XV. RPS (Base Num)'!H7)))</f>
        <v>26.876555786040868</v>
      </c>
      <c r="D9" s="393">
        <f>IF('A.XV. RPS (DetalhadoI)'!D60=1,0,IF('A.XV. RPS (DetalhadoI)'!D60=2,'A.XV. RPS (Base Num)'!E7,IF('A.XV. RPS (DetalhadoI)'!D60=3,'A.XV. RPS (Base Num)'!G7,'A.XV. RPS (Base Num)'!I7)))</f>
        <v>6.9406093680000076E-3</v>
      </c>
      <c r="E9" s="226">
        <f t="shared" si="0"/>
        <v>0.11374370418790858</v>
      </c>
      <c r="F9" s="226">
        <f t="shared" si="1"/>
        <v>1.2937630242386451E-2</v>
      </c>
      <c r="H9" s="200"/>
      <c r="I9" s="201"/>
      <c r="J9" s="201"/>
      <c r="K9" s="202"/>
    </row>
    <row r="10" spans="1:27" x14ac:dyDescent="0.2">
      <c r="A10" s="223"/>
      <c r="B10" s="260" t="s">
        <v>776</v>
      </c>
      <c r="C10" s="225">
        <f>IF('A.XV. RPS (DetalhadoI)'!D66=1,'A.XV. RPS (Base Num)'!B8,IF('A.XV. RPS (DetalhadoI)'!D66=2,'A.XV. RPS (Base Num)'!D8,IF('A.XV. RPS (DetalhadoI)'!D66=3,'A.XV. RPS (Base Num)'!F8,'A.XV. RPS (Base Num)'!H8)))</f>
        <v>100</v>
      </c>
      <c r="D10" s="393">
        <f>IF('A.XV. RPS (DetalhadoI)'!D66=1,0,IF('A.XV. RPS (DetalhadoI)'!D66=2,'A.XV. RPS (Base Num)'!E8,IF('A.XV. RPS (DetalhadoI)'!D66=3,'A.XV. RPS (Base Num)'!G8,'A.XV. RPS (Base Num)'!I8)))</f>
        <v>5.5714285714285716E-2</v>
      </c>
      <c r="E10" s="226">
        <f t="shared" si="0"/>
        <v>3.3972125435540068</v>
      </c>
      <c r="F10" s="226">
        <f t="shared" si="1"/>
        <v>11.541053066080684</v>
      </c>
    </row>
    <row r="11" spans="1:27" x14ac:dyDescent="0.2">
      <c r="A11" s="223"/>
      <c r="B11" s="260" t="s">
        <v>777</v>
      </c>
      <c r="C11" s="225" t="e">
        <f>IF('A.XV. RPS (DetalhadoI)'!D72=1,'A.XV. RPS (Base Num)'!B9,IF('A.XV. RPS (DetalhadoI)'!D72=2,'A.XV. RPS (Base Num)'!D9,IF('A.XV. RPS (DetalhadoI)'!D72=3,'A.XV. RPS (Base Num)'!F9,'A.XV. RPS (Base Num)'!H9)))</f>
        <v>#DIV/0!</v>
      </c>
      <c r="D11" s="393">
        <f>IF('A.XV. RPS (DetalhadoI)'!D72=1,0,IF('A.XV. RPS (DetalhadoI)'!D72=2,'A.XV. RPS (Base Num)'!E9,IF('A.XV. RPS (DetalhadoI)'!D72=3,'A.XV. RPS (Base Num)'!G9,'A.XV. RPS (Base Num)'!I9)))</f>
        <v>2.2400000000000021E-2</v>
      </c>
      <c r="E11" s="226" t="e">
        <f t="shared" si="0"/>
        <v>#DIV/0!</v>
      </c>
      <c r="F11" s="226" t="e">
        <f t="shared" si="1"/>
        <v>#DIV/0!</v>
      </c>
      <c r="J11" s="345"/>
      <c r="K11" s="345"/>
      <c r="L11" s="345"/>
      <c r="M11" s="345"/>
      <c r="N11" s="345"/>
      <c r="O11" s="345"/>
      <c r="P11" s="345"/>
      <c r="Q11" s="345"/>
      <c r="R11" s="345"/>
      <c r="S11" s="345"/>
      <c r="T11" s="345"/>
      <c r="U11" s="345"/>
      <c r="V11" s="345"/>
      <c r="W11" s="345"/>
      <c r="X11" s="345"/>
      <c r="Y11" s="345"/>
      <c r="Z11" s="345"/>
      <c r="AA11" s="345"/>
    </row>
    <row r="12" spans="1:27" x14ac:dyDescent="0.2">
      <c r="A12" s="223"/>
      <c r="B12" s="260" t="s">
        <v>778</v>
      </c>
      <c r="C12" s="372" t="e">
        <f>IF('A.XV. RPS (DetalhadoI)'!D78=1,'A.XV. RPS (Base Num)'!B10,IF('A.XV. RPS (DetalhadoI)'!D78=2,'A.XV. RPS (Base Num)'!D10,IF('A.XV. RPS (DetalhadoI)'!D78=3,'A.XV. RPS (Base Num)'!F10,'A.XV. RPS (Base Num)'!H10)))</f>
        <v>#VALUE!</v>
      </c>
      <c r="D12" s="393">
        <f>IF('A.XV. RPS (DetalhadoI)'!D78=1,0,IF('A.XV. RPS (DetalhadoI)'!D78=2,'A.XV. RPS (Base Num)'!E10,IF('A.XV. RPS (DetalhadoI)'!D78=3,'A.XV. RPS (Base Num)'!G10,'A.XV. RPS (Base Num)'!I10)))</f>
        <v>4.8154400000000042E-2</v>
      </c>
      <c r="E12" s="226" t="e">
        <f t="shared" si="0"/>
        <v>#VALUE!</v>
      </c>
      <c r="F12" s="226" t="e">
        <f t="shared" si="1"/>
        <v>#VALUE!</v>
      </c>
      <c r="J12" s="345"/>
      <c r="K12" s="345"/>
      <c r="L12" s="345"/>
      <c r="M12" s="345"/>
      <c r="N12" s="345"/>
      <c r="O12" s="345"/>
      <c r="P12" s="345"/>
      <c r="Q12" s="345"/>
      <c r="R12" s="345"/>
      <c r="S12" s="345"/>
      <c r="T12" s="345"/>
      <c r="U12" s="345"/>
      <c r="V12" s="345"/>
      <c r="W12" s="345"/>
      <c r="X12" s="345"/>
      <c r="Y12" s="345"/>
      <c r="Z12" s="345"/>
      <c r="AA12" s="345"/>
    </row>
    <row r="13" spans="1:27" x14ac:dyDescent="0.2">
      <c r="A13" s="223"/>
      <c r="B13" s="260" t="s">
        <v>779</v>
      </c>
      <c r="C13" s="225">
        <f>IF('A.XV. RPS (DetalhadoI)'!D84=1,'A.XV. RPS (Base Num)'!B11,IF('A.XV. RPS (DetalhadoI)'!D84=2,'A.XV. RPS (Base Num)'!D11,IF('A.XV. RPS (DetalhadoI)'!D84=3,'A.XV. RPS (Base Num)'!F11,'A.XV. RPS (Base Num)'!H11)))</f>
        <v>100</v>
      </c>
      <c r="D13" s="393">
        <f>IF('A.XV. RPS (DetalhadoI)'!D84=1,0,IF('A.XV. RPS (DetalhadoI)'!D84=2,'A.XV. RPS (Base Num)'!E11,IF('A.XV. RPS (DetalhadoI)'!D84=3,'A.XV. RPS (Base Num)'!G11,'A.XV. RPS (Base Num)'!I11)))</f>
        <v>1.2E-2</v>
      </c>
      <c r="E13" s="226">
        <f t="shared" si="0"/>
        <v>0.73170731707317072</v>
      </c>
      <c r="F13" s="226">
        <f t="shared" si="1"/>
        <v>0.53539559785841762</v>
      </c>
      <c r="J13" s="345"/>
      <c r="K13" s="345"/>
      <c r="L13" s="345"/>
      <c r="M13" s="345"/>
      <c r="N13" s="345"/>
      <c r="O13" s="345"/>
      <c r="P13" s="345"/>
      <c r="Q13" s="345"/>
      <c r="R13" s="345"/>
      <c r="S13" s="345"/>
      <c r="T13" s="345"/>
      <c r="U13" s="345"/>
      <c r="V13" s="345"/>
      <c r="W13" s="345"/>
      <c r="X13" s="345"/>
      <c r="Y13" s="345"/>
      <c r="Z13" s="345"/>
      <c r="AA13" s="345"/>
    </row>
    <row r="14" spans="1:27" x14ac:dyDescent="0.2">
      <c r="A14" s="223"/>
      <c r="B14" s="263" t="s">
        <v>780</v>
      </c>
      <c r="C14" s="225">
        <f>IF('A.XV. RPS (DetalhadoI)'!D90=1,'A.XV. RPS (Base Num)'!B12,IF('A.XV. RPS (DetalhadoI)'!D90=2,'A.XV. RPS (Base Num)'!D12,IF('A.XV. RPS (DetalhadoI)'!D90=3,'A.XV. RPS (Base Num)'!F12,'A.XV. RPS (Base Num)'!H12)))</f>
        <v>0</v>
      </c>
      <c r="D14" s="393">
        <f>IF('A.XV. RPS (DetalhadoI)'!D90=1,0,IF('A.XV. RPS (DetalhadoI)'!D90=2,'A.XV. RPS (Base Num)'!E12,IF('A.XV. RPS (DetalhadoI)'!D90=3,'A.XV. RPS (Base Num)'!G12,'A.XV. RPS (Base Num)'!I12)))</f>
        <v>3.5000000000000031E-2</v>
      </c>
      <c r="E14" s="226">
        <f t="shared" si="0"/>
        <v>0</v>
      </c>
      <c r="F14" s="226">
        <f t="shared" si="1"/>
        <v>0</v>
      </c>
      <c r="J14" s="345"/>
      <c r="K14" s="345"/>
      <c r="L14" s="345"/>
      <c r="M14" s="345"/>
      <c r="N14" s="345"/>
      <c r="O14" s="345"/>
      <c r="P14" s="345"/>
      <c r="Q14" s="345"/>
      <c r="R14" s="345"/>
      <c r="S14" s="345"/>
      <c r="T14" s="345"/>
      <c r="U14" s="345"/>
      <c r="V14" s="345"/>
      <c r="W14" s="345"/>
      <c r="X14" s="345"/>
      <c r="Y14" s="345"/>
      <c r="Z14" s="345"/>
      <c r="AA14" s="345"/>
    </row>
    <row r="15" spans="1:27" x14ac:dyDescent="0.2">
      <c r="A15" s="223"/>
      <c r="B15" s="260" t="s">
        <v>781</v>
      </c>
      <c r="C15" s="225">
        <f>IF('A.XV. RPS (DetalhadoI)'!D96=1,'A.XV. RPS (Base Num)'!B13,IF('A.XV. RPS (DetalhadoI)'!D96=2,'A.XV. RPS (Base Num)'!D13,IF('A.XV. RPS (DetalhadoI)'!D96=3,'A.XV. RPS (Base Num)'!F13,'A.XV. RPS (Base Num)'!H13)))</f>
        <v>100</v>
      </c>
      <c r="D15" s="393">
        <f>IF('A.XV. RPS (DetalhadoI)'!D96=1,0,IF('A.XV. RPS (DetalhadoI)'!D96=2,'A.XV. RPS (Base Num)'!E13,IF('A.XV. RPS (DetalhadoI)'!D96=3,'A.XV. RPS (Base Num)'!G13,'A.XV. RPS (Base Num)'!I13)))</f>
        <v>3.5000000000000031E-2</v>
      </c>
      <c r="E15" s="226">
        <f t="shared" si="0"/>
        <v>2.1341463414634165</v>
      </c>
      <c r="F15" s="226">
        <f t="shared" si="1"/>
        <v>4.5545806067816859</v>
      </c>
      <c r="J15" s="345"/>
      <c r="K15" s="345"/>
      <c r="L15" s="345"/>
      <c r="M15" s="345"/>
      <c r="N15" s="345"/>
      <c r="O15" s="345"/>
      <c r="P15" s="345"/>
      <c r="Q15" s="345"/>
      <c r="R15" s="345"/>
      <c r="S15" s="345"/>
      <c r="T15" s="345"/>
      <c r="U15" s="345"/>
      <c r="V15" s="345"/>
      <c r="W15" s="345"/>
      <c r="X15" s="345"/>
      <c r="Y15" s="345"/>
      <c r="Z15" s="345"/>
      <c r="AA15" s="345"/>
    </row>
    <row r="16" spans="1:27" x14ac:dyDescent="0.2">
      <c r="A16" s="223"/>
      <c r="B16" s="260" t="s">
        <v>782</v>
      </c>
      <c r="C16" s="225">
        <f>IF('A.XV. RPS (DetalhadoI)'!D102=1,'A.XV. RPS (Base Num)'!B14,IF('A.XV. RPS (DetalhadoI)'!D102=2,'A.XV. RPS (Base Num)'!D14,IF('A.XV. RPS (DetalhadoI)'!D102=3,'A.XV. RPS (Base Num)'!F14,'A.XV. RPS (Base Num)'!H14)))</f>
        <v>100</v>
      </c>
      <c r="D16" s="393">
        <f>IF('A.XV. RPS (DetalhadoI)'!D102=1,0,IF('A.XV. RPS (DetalhadoI)'!D102=2,'A.XV. RPS (Base Num)'!E14,IF('A.XV. RPS (DetalhadoI)'!D102=3,'A.XV. RPS (Base Num)'!G14,'A.XV. RPS (Base Num)'!I14)))</f>
        <v>0.01</v>
      </c>
      <c r="E16" s="226">
        <f t="shared" si="0"/>
        <v>0.6097560975609756</v>
      </c>
      <c r="F16" s="226">
        <f t="shared" si="1"/>
        <v>0.37180249851279001</v>
      </c>
      <c r="J16" s="345"/>
      <c r="K16" s="345"/>
      <c r="L16" s="345"/>
      <c r="M16" s="345"/>
      <c r="N16" s="345"/>
      <c r="O16" s="345"/>
      <c r="P16" s="345"/>
      <c r="Q16" s="345"/>
      <c r="R16" s="345"/>
      <c r="S16" s="345"/>
      <c r="T16" s="345"/>
      <c r="U16" s="345"/>
      <c r="V16" s="345"/>
      <c r="W16" s="345"/>
      <c r="X16" s="345"/>
      <c r="Y16" s="345"/>
      <c r="Z16" s="345"/>
      <c r="AA16" s="345"/>
    </row>
    <row r="17" spans="1:27" x14ac:dyDescent="0.2">
      <c r="A17" s="223"/>
      <c r="B17" s="260" t="s">
        <v>783</v>
      </c>
      <c r="C17" s="225">
        <f>IF('A.XV. RPS (DetalhadoI)'!D108=1,'A.XV. RPS (Base Num)'!B15,IF('A.XV. RPS (DetalhadoI)'!D108=2,'A.XV. RPS (Base Num)'!D15,IF('A.XV. RPS (DetalhadoI)'!D108=3,'A.XV. RPS (Base Num)'!F15,'A.XV. RPS (Base Num)'!H15)))</f>
        <v>40.109867734693751</v>
      </c>
      <c r="D17" s="393">
        <f>IF('A.XV. RPS (DetalhadoI)'!D108=1,0,IF('A.XV. RPS (DetalhadoI)'!D108=2,'A.XV. RPS (Base Num)'!E15,IF('A.XV. RPS (DetalhadoI)'!D108=3,'A.XV. RPS (Base Num)'!G15,'A.XV. RPS (Base Num)'!I15)))</f>
        <v>7.4999999999999997E-3</v>
      </c>
      <c r="E17" s="226">
        <f t="shared" si="0"/>
        <v>0.18342927317695312</v>
      </c>
      <c r="F17" s="226">
        <f t="shared" si="1"/>
        <v>3.3646298258225293E-2</v>
      </c>
      <c r="J17" s="345"/>
      <c r="K17" s="211"/>
      <c r="L17" s="211"/>
      <c r="M17" s="211"/>
      <c r="N17" s="345"/>
      <c r="O17" s="345"/>
      <c r="P17" s="345"/>
      <c r="Q17" s="345"/>
      <c r="R17" s="345"/>
      <c r="S17" s="345"/>
      <c r="T17" s="345"/>
      <c r="U17" s="345"/>
      <c r="V17" s="345"/>
      <c r="W17" s="345"/>
      <c r="X17" s="345"/>
      <c r="Y17" s="345"/>
      <c r="Z17" s="345"/>
      <c r="AA17" s="345"/>
    </row>
    <row r="18" spans="1:27" x14ac:dyDescent="0.2">
      <c r="A18" s="223"/>
      <c r="B18" s="260" t="s">
        <v>784</v>
      </c>
      <c r="C18" s="225">
        <f>IF('A.XV. RPS (DetalhadoI)'!D114=1,'A.XV. RPS (Base Num)'!B16,IF('A.XV. RPS (DetalhadoI)'!D114=2,'A.XV. RPS (Base Num)'!D16,IF('A.XV. RPS (DetalhadoI)'!D114=3,'A.XV. RPS (Base Num)'!F16,'A.XV. RPS (Base Num)'!H16)))</f>
        <v>4.7991222947897265</v>
      </c>
      <c r="D18" s="393">
        <f>IF('A.XV. RPS (DetalhadoI)'!D114=1,0,IF('A.XV. RPS (DetalhadoI)'!D114=2,'A.XV. RPS (Base Num)'!E16,IF('A.XV. RPS (DetalhadoI)'!D114=3,'A.XV. RPS (Base Num)'!G16,'A.XV. RPS (Base Num)'!I16)))</f>
        <v>8.0000000000000002E-3</v>
      </c>
      <c r="E18" s="226">
        <f t="shared" si="0"/>
        <v>2.3410352657510864E-2</v>
      </c>
      <c r="F18" s="226">
        <f t="shared" si="1"/>
        <v>5.4804461154902596E-4</v>
      </c>
      <c r="J18" s="345"/>
      <c r="K18" s="211"/>
      <c r="L18" s="211"/>
      <c r="M18" s="211"/>
      <c r="N18" s="345"/>
      <c r="O18" s="345"/>
      <c r="P18" s="345"/>
      <c r="Q18" s="345"/>
      <c r="R18" s="345"/>
      <c r="S18" s="345"/>
      <c r="T18" s="345"/>
      <c r="U18" s="345"/>
      <c r="V18" s="345"/>
      <c r="W18" s="345"/>
      <c r="X18" s="345"/>
      <c r="Y18" s="345"/>
      <c r="Z18" s="345"/>
      <c r="AA18" s="345"/>
    </row>
    <row r="19" spans="1:27" x14ac:dyDescent="0.2">
      <c r="A19" s="223"/>
      <c r="B19" s="260" t="s">
        <v>785</v>
      </c>
      <c r="C19" s="225">
        <f>IF('A.XV. RPS (DetalhadoI)'!D120=1,'A.XV. RPS (Base Num)'!B17,IF('A.XV. RPS (DetalhadoI)'!D120=2,'A.XV. RPS (Base Num)'!D17,IF('A.XV. RPS (DetalhadoI)'!D120=3,'A.XV. RPS (Base Num)'!F17,'A.XV. RPS (Base Num)'!H17)))</f>
        <v>37.05998982410167</v>
      </c>
      <c r="D19" s="393">
        <f>IF('A.XV. RPS (DetalhadoI)'!D120=1,0,IF('A.XV. RPS (DetalhadoI)'!D120=2,'A.XV. RPS (Base Num)'!E17,IF('A.XV. RPS (DetalhadoI)'!D120=3,'A.XV. RPS (Base Num)'!G17,'A.XV. RPS (Base Num)'!I17)))</f>
        <v>1.2712761600000011E-2</v>
      </c>
      <c r="E19" s="226">
        <f t="shared" si="0"/>
        <v>0.2872773265440432</v>
      </c>
      <c r="F19" s="226">
        <f t="shared" si="1"/>
        <v>8.2528262346292833E-2</v>
      </c>
      <c r="J19" s="345"/>
      <c r="K19" s="211"/>
      <c r="L19" s="211"/>
      <c r="M19" s="211"/>
      <c r="N19" s="345"/>
      <c r="O19" s="345"/>
      <c r="P19" s="345"/>
      <c r="Q19" s="345"/>
      <c r="R19" s="345"/>
      <c r="S19" s="345"/>
      <c r="T19" s="345"/>
      <c r="U19" s="345"/>
      <c r="V19" s="345"/>
      <c r="W19" s="345"/>
      <c r="X19" s="345"/>
      <c r="Y19" s="345"/>
      <c r="Z19" s="345"/>
      <c r="AA19" s="345"/>
    </row>
    <row r="20" spans="1:27" x14ac:dyDescent="0.2">
      <c r="A20" s="223"/>
      <c r="B20" s="260" t="s">
        <v>786</v>
      </c>
      <c r="C20" s="225">
        <f>IF('A.XV. RPS (DetalhadoI)'!D126=1,'A.XV. RPS (Base Num)'!B18,IF('A.XV. RPS (DetalhadoI)'!D126=2,'A.XV. RPS (Base Num)'!D18,IF('A.XV. RPS (DetalhadoI)'!D126=3,'A.XV. RPS (Base Num)'!F18,'A.XV. RPS (Base Num)'!H18)))</f>
        <v>100</v>
      </c>
      <c r="D20" s="393">
        <f>IF('A.XV. RPS (DetalhadoI)'!D126=1,0,IF('A.XV. RPS (DetalhadoI)'!D126=2,'A.XV. RPS (Base Num)'!E18,IF('A.XV. RPS (DetalhadoI)'!D126=3,'A.XV. RPS (Base Num)'!G18,'A.XV. RPS (Base Num)'!I18)))</f>
        <v>1.3333333333333334E-2</v>
      </c>
      <c r="E20" s="226">
        <f t="shared" si="0"/>
        <v>0.81300813008130091</v>
      </c>
      <c r="F20" s="226">
        <f t="shared" si="1"/>
        <v>0.66098221957829351</v>
      </c>
      <c r="J20" s="345"/>
      <c r="K20" s="211"/>
      <c r="L20" s="211"/>
      <c r="M20" s="211"/>
      <c r="N20" s="345"/>
      <c r="O20" s="345"/>
      <c r="P20" s="345"/>
      <c r="Q20" s="345"/>
      <c r="R20" s="345"/>
      <c r="S20" s="345"/>
      <c r="T20" s="345"/>
      <c r="U20" s="345"/>
      <c r="V20" s="345"/>
      <c r="W20" s="345"/>
      <c r="X20" s="345"/>
      <c r="Y20" s="345"/>
      <c r="Z20" s="345"/>
      <c r="AA20" s="345"/>
    </row>
    <row r="21" spans="1:27" ht="12.75" customHeight="1" x14ac:dyDescent="0.2">
      <c r="A21" s="223"/>
      <c r="B21" s="260" t="s">
        <v>787</v>
      </c>
      <c r="C21" s="225">
        <f>IF('A.XV. RPS (DetalhadoI)'!D132=1,'A.XV. RPS (Base Num)'!B19,IF('A.XV. RPS (DetalhadoI)'!D132=2,'A.XV. RPS (Base Num)'!D19,IF('A.XV. RPS (DetalhadoI)'!D132=3,'A.XV. RPS (Base Num)'!F19,'A.XV. RPS (Base Num)'!H19)))</f>
        <v>4.19984421688482</v>
      </c>
      <c r="D21" s="393">
        <f>IF('A.XV. RPS (DetalhadoI)'!D132=1,0,IF('A.XV. RPS (DetalhadoI)'!D132=2,'A.XV. RPS (Base Num)'!E19,IF('A.XV. RPS (DetalhadoI)'!D132=3,'A.XV. RPS (Base Num)'!G19,'A.XV. RPS (Base Num)'!I19)))</f>
        <v>0.02</v>
      </c>
      <c r="E21" s="226">
        <f t="shared" si="0"/>
        <v>5.1217612401034396E-2</v>
      </c>
      <c r="F21" s="226">
        <f t="shared" si="1"/>
        <v>2.6232438200625924E-3</v>
      </c>
      <c r="J21" s="345"/>
      <c r="K21" s="211"/>
      <c r="L21" s="211">
        <v>1</v>
      </c>
      <c r="M21" s="211"/>
      <c r="N21" s="345"/>
      <c r="O21" s="345"/>
      <c r="P21" s="345"/>
      <c r="Q21" s="345"/>
      <c r="R21" s="345"/>
      <c r="S21" s="345"/>
      <c r="T21" s="345"/>
      <c r="U21" s="345"/>
      <c r="V21" s="345"/>
      <c r="W21" s="345"/>
      <c r="X21" s="345"/>
      <c r="Y21" s="345"/>
      <c r="Z21" s="345"/>
      <c r="AA21" s="345"/>
    </row>
    <row r="22" spans="1:27" x14ac:dyDescent="0.2">
      <c r="A22" s="223"/>
      <c r="B22" s="231"/>
      <c r="C22" s="232"/>
      <c r="D22" s="233"/>
      <c r="E22" s="234"/>
      <c r="F22" s="234"/>
      <c r="J22" s="345"/>
      <c r="K22" s="211"/>
      <c r="L22" s="211"/>
      <c r="M22" s="211"/>
      <c r="N22" s="345"/>
      <c r="O22" s="345"/>
      <c r="P22" s="345"/>
      <c r="Q22" s="345"/>
      <c r="R22" s="345"/>
      <c r="S22" s="345"/>
      <c r="T22" s="345"/>
      <c r="U22" s="345"/>
      <c r="V22" s="345"/>
      <c r="W22" s="345"/>
      <c r="X22" s="345"/>
      <c r="Y22" s="345"/>
      <c r="Z22" s="345"/>
      <c r="AA22" s="345"/>
    </row>
    <row r="23" spans="1:27" ht="15" x14ac:dyDescent="0.2">
      <c r="A23" s="213" t="s">
        <v>368</v>
      </c>
      <c r="B23" s="214" t="s">
        <v>369</v>
      </c>
      <c r="J23" s="345"/>
      <c r="K23" s="211"/>
      <c r="L23" s="211"/>
      <c r="M23" s="211"/>
      <c r="N23" s="345"/>
      <c r="O23" s="345"/>
      <c r="P23" s="345"/>
      <c r="Q23" s="345"/>
      <c r="R23" s="345"/>
      <c r="S23" s="345"/>
      <c r="T23" s="345"/>
      <c r="U23" s="345"/>
      <c r="V23" s="345"/>
      <c r="W23" s="345"/>
      <c r="X23" s="345"/>
      <c r="Y23" s="345"/>
      <c r="Z23" s="345"/>
      <c r="AA23" s="345"/>
    </row>
    <row r="24" spans="1:27" x14ac:dyDescent="0.2">
      <c r="H24" s="227" t="s">
        <v>366</v>
      </c>
      <c r="I24" s="227" t="s">
        <v>367</v>
      </c>
      <c r="J24" s="345"/>
      <c r="K24" s="211"/>
      <c r="L24" s="211"/>
      <c r="M24" s="211"/>
      <c r="N24" s="345"/>
      <c r="O24" s="345"/>
      <c r="P24" s="345"/>
      <c r="Q24" s="345"/>
      <c r="R24" s="345"/>
      <c r="S24" s="345"/>
      <c r="T24" s="345"/>
      <c r="U24" s="345"/>
      <c r="V24" s="345"/>
      <c r="W24" s="345"/>
      <c r="X24" s="345"/>
      <c r="Y24" s="345"/>
      <c r="Z24" s="345"/>
      <c r="AA24" s="345"/>
    </row>
    <row r="25" spans="1:27" ht="15" x14ac:dyDescent="0.2">
      <c r="H25" s="228">
        <v>0.95</v>
      </c>
      <c r="I25" s="229" t="e">
        <f>(SUM(F5:F21)^0.5)*1.65</f>
        <v>#DIV/0!</v>
      </c>
      <c r="J25" s="345"/>
      <c r="K25" s="211"/>
      <c r="L25" s="211" t="e">
        <f>I25/100</f>
        <v>#DIV/0!</v>
      </c>
      <c r="M25" s="211"/>
      <c r="N25" s="345"/>
      <c r="O25" s="345"/>
      <c r="P25" s="345"/>
      <c r="Q25" s="345"/>
      <c r="R25" s="345"/>
      <c r="S25" s="345"/>
      <c r="T25" s="345"/>
      <c r="U25" s="345"/>
      <c r="V25" s="345"/>
      <c r="W25" s="345"/>
      <c r="X25" s="345"/>
      <c r="Y25" s="345"/>
      <c r="Z25" s="345"/>
      <c r="AA25" s="345"/>
    </row>
    <row r="26" spans="1:27" ht="15" x14ac:dyDescent="0.25">
      <c r="A26" s="213" t="s">
        <v>360</v>
      </c>
      <c r="B26" s="192" t="s">
        <v>275</v>
      </c>
      <c r="H26" s="230">
        <v>0.9</v>
      </c>
      <c r="I26" s="229" t="e">
        <f>(SUM(F5:F21)^0.5)*1.29</f>
        <v>#DIV/0!</v>
      </c>
      <c r="J26" s="345"/>
      <c r="K26" s="211"/>
      <c r="L26" s="211" t="e">
        <f>I26/100</f>
        <v>#DIV/0!</v>
      </c>
      <c r="M26" s="211"/>
      <c r="N26" s="345"/>
      <c r="O26" s="345"/>
      <c r="P26" s="345"/>
      <c r="Q26" s="345"/>
      <c r="R26" s="345"/>
      <c r="S26" s="345"/>
      <c r="T26" s="345"/>
      <c r="U26" s="345"/>
      <c r="V26" s="345"/>
      <c r="W26" s="345"/>
      <c r="X26" s="345"/>
      <c r="Y26" s="345"/>
      <c r="Z26" s="345"/>
      <c r="AA26" s="345"/>
    </row>
    <row r="27" spans="1:27" ht="15" x14ac:dyDescent="0.25">
      <c r="B27" s="209" t="s">
        <v>276</v>
      </c>
      <c r="C27" s="371" t="e">
        <f>IF(L21=1,IF(L30&lt;0.0502,0.0502,L30),IF(L21=2,IF(L30&lt;0.0393,0.0393,L30),IF(L21=3,IF(L30&lt;0.0315,0.0315,L30),"ERRO")))</f>
        <v>#DIV/0!</v>
      </c>
      <c r="H27" s="230">
        <v>0.85</v>
      </c>
      <c r="I27" s="229" t="e">
        <f>(SUM(F5:F21)^0.5)*1.035</f>
        <v>#DIV/0!</v>
      </c>
      <c r="J27" s="345"/>
      <c r="K27" s="211"/>
      <c r="L27" s="211" t="e">
        <f>I27/100</f>
        <v>#DIV/0!</v>
      </c>
      <c r="M27" s="211"/>
      <c r="N27" s="345"/>
      <c r="O27" s="345"/>
      <c r="P27" s="345"/>
      <c r="Q27" s="345"/>
      <c r="R27" s="345"/>
      <c r="S27" s="345"/>
      <c r="T27" s="345"/>
      <c r="U27" s="345"/>
      <c r="V27" s="345"/>
      <c r="W27" s="345"/>
      <c r="X27" s="345"/>
      <c r="Y27" s="345"/>
      <c r="Z27" s="345"/>
      <c r="AA27" s="345"/>
    </row>
    <row r="28" spans="1:27" x14ac:dyDescent="0.2">
      <c r="J28" s="345"/>
      <c r="K28" s="211"/>
      <c r="L28" s="211"/>
      <c r="M28" s="211"/>
      <c r="N28" s="345"/>
      <c r="O28" s="345"/>
      <c r="P28" s="345"/>
      <c r="Q28" s="345"/>
      <c r="R28" s="345"/>
      <c r="S28" s="345"/>
      <c r="T28" s="345"/>
      <c r="U28" s="345"/>
      <c r="V28" s="345"/>
      <c r="W28" s="345"/>
      <c r="X28" s="345"/>
      <c r="Y28" s="345"/>
      <c r="Z28" s="345"/>
      <c r="AA28" s="345"/>
    </row>
    <row r="29" spans="1:27" x14ac:dyDescent="0.2">
      <c r="J29" s="345"/>
      <c r="K29" s="211"/>
      <c r="L29" s="211"/>
      <c r="M29" s="211"/>
      <c r="N29" s="345"/>
      <c r="O29" s="345"/>
      <c r="P29" s="345"/>
      <c r="Q29" s="345"/>
      <c r="R29" s="345"/>
      <c r="S29" s="345"/>
      <c r="T29" s="345"/>
      <c r="U29" s="345"/>
      <c r="V29" s="345"/>
      <c r="W29" s="345"/>
      <c r="X29" s="345"/>
      <c r="Y29" s="345"/>
      <c r="Z29" s="345"/>
      <c r="AA29" s="345"/>
    </row>
    <row r="30" spans="1:27" x14ac:dyDescent="0.2">
      <c r="J30" s="345"/>
      <c r="K30" s="211"/>
      <c r="L30" s="211" t="e">
        <f>IF(L21=1,L25,IF(L21=2,L26,IF(L21=3,L27,"ERROR")))</f>
        <v>#DIV/0!</v>
      </c>
      <c r="M30" s="211"/>
      <c r="N30" s="345"/>
      <c r="O30" s="345"/>
      <c r="P30" s="345"/>
      <c r="Q30" s="345"/>
      <c r="R30" s="345"/>
      <c r="S30" s="345"/>
      <c r="T30" s="345"/>
      <c r="U30" s="345"/>
      <c r="V30" s="345"/>
      <c r="W30" s="345"/>
      <c r="X30" s="345"/>
      <c r="Y30" s="345"/>
      <c r="Z30" s="345"/>
      <c r="AA30" s="345"/>
    </row>
    <row r="31" spans="1:27" x14ac:dyDescent="0.2">
      <c r="J31" s="345"/>
      <c r="K31" s="211"/>
      <c r="L31" s="211"/>
      <c r="M31" s="211"/>
      <c r="N31" s="345"/>
      <c r="O31" s="345"/>
      <c r="P31" s="345"/>
      <c r="Q31" s="345"/>
      <c r="R31" s="345"/>
      <c r="S31" s="345"/>
      <c r="T31" s="345"/>
      <c r="U31" s="345"/>
      <c r="V31" s="345"/>
      <c r="W31" s="345"/>
      <c r="X31" s="345"/>
      <c r="Y31" s="345"/>
      <c r="Z31" s="345"/>
      <c r="AA31" s="345"/>
    </row>
    <row r="32" spans="1:27" x14ac:dyDescent="0.2">
      <c r="J32" s="345"/>
      <c r="K32" s="211"/>
      <c r="L32" s="211"/>
      <c r="M32" s="211"/>
      <c r="N32" s="345"/>
      <c r="O32" s="345"/>
      <c r="P32" s="345"/>
      <c r="Q32" s="345"/>
      <c r="R32" s="345"/>
      <c r="S32" s="345"/>
      <c r="T32" s="345"/>
      <c r="U32" s="345"/>
      <c r="V32" s="345"/>
      <c r="W32" s="345"/>
      <c r="X32" s="345"/>
      <c r="Y32" s="345"/>
      <c r="Z32" s="345"/>
      <c r="AA32" s="345"/>
    </row>
    <row r="33" spans="10:27" x14ac:dyDescent="0.2">
      <c r="J33" s="345"/>
      <c r="K33" s="211"/>
      <c r="L33" s="211"/>
      <c r="M33" s="211"/>
      <c r="N33" s="345"/>
      <c r="O33" s="345"/>
      <c r="P33" s="345"/>
      <c r="Q33" s="345"/>
      <c r="R33" s="345"/>
      <c r="S33" s="345"/>
      <c r="T33" s="345"/>
      <c r="U33" s="345"/>
      <c r="V33" s="345"/>
      <c r="W33" s="345"/>
      <c r="X33" s="345"/>
      <c r="Y33" s="345"/>
      <c r="Z33" s="345"/>
      <c r="AA33" s="345"/>
    </row>
    <row r="34" spans="10:27" x14ac:dyDescent="0.2">
      <c r="J34" s="345"/>
      <c r="K34" s="211"/>
      <c r="L34" s="211"/>
      <c r="M34" s="211"/>
      <c r="N34" s="345"/>
      <c r="O34" s="345"/>
      <c r="P34" s="345"/>
      <c r="Q34" s="345"/>
      <c r="R34" s="345"/>
      <c r="S34" s="345"/>
      <c r="T34" s="345"/>
      <c r="U34" s="345"/>
      <c r="V34" s="345"/>
      <c r="W34" s="345"/>
      <c r="X34" s="345"/>
      <c r="Y34" s="345"/>
      <c r="Z34" s="345"/>
      <c r="AA34" s="345"/>
    </row>
  </sheetData>
  <mergeCells count="1">
    <mergeCell ref="H4:K4"/>
  </mergeCells>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Drop Down 1">
              <controlPr defaultSize="0" autoLine="0" autoPict="0">
                <anchor moveWithCells="1">
                  <from>
                    <xdr:col>1</xdr:col>
                    <xdr:colOff>9525</xdr:colOff>
                    <xdr:row>23</xdr:row>
                    <xdr:rowOff>9525</xdr:rowOff>
                  </from>
                  <to>
                    <xdr:col>1</xdr:col>
                    <xdr:colOff>657225</xdr:colOff>
                    <xdr:row>24</xdr:row>
                    <xdr:rowOff>47625</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Planilha45"/>
  <dimension ref="A1:J19"/>
  <sheetViews>
    <sheetView workbookViewId="0"/>
  </sheetViews>
  <sheetFormatPr defaultColWidth="22" defaultRowHeight="12.75" x14ac:dyDescent="0.2"/>
  <cols>
    <col min="1" max="1" width="40.42578125" style="360" bestFit="1" customWidth="1"/>
    <col min="2" max="2" width="9.140625" style="8" bestFit="1" customWidth="1"/>
    <col min="3" max="3" width="15" style="8" bestFit="1" customWidth="1"/>
    <col min="4" max="4" width="9.140625" style="8" bestFit="1" customWidth="1"/>
    <col min="5" max="5" width="15" style="8" bestFit="1" customWidth="1"/>
    <col min="6" max="6" width="9.140625" style="8" bestFit="1" customWidth="1"/>
    <col min="7" max="7" width="15" style="8" bestFit="1" customWidth="1"/>
    <col min="8" max="8" width="9.140625" style="8" bestFit="1" customWidth="1"/>
    <col min="9" max="9" width="15" style="8" bestFit="1" customWidth="1"/>
    <col min="10" max="10" width="33.7109375" style="368" customWidth="1"/>
    <col min="11" max="16384" width="22" style="8"/>
  </cols>
  <sheetData>
    <row r="1" spans="1:10" x14ac:dyDescent="0.2">
      <c r="A1" s="358"/>
      <c r="B1" s="865" t="s">
        <v>281</v>
      </c>
      <c r="C1" s="866"/>
      <c r="D1" s="867" t="s">
        <v>819</v>
      </c>
      <c r="E1" s="867"/>
      <c r="F1" s="867" t="s">
        <v>282</v>
      </c>
      <c r="G1" s="867"/>
      <c r="H1" s="867" t="s">
        <v>820</v>
      </c>
      <c r="I1" s="867"/>
      <c r="J1" s="361"/>
    </row>
    <row r="2" spans="1:10" x14ac:dyDescent="0.2">
      <c r="A2" s="362" t="s">
        <v>259</v>
      </c>
      <c r="B2" s="363" t="s">
        <v>362</v>
      </c>
      <c r="C2" s="363" t="s">
        <v>788</v>
      </c>
      <c r="D2" s="363" t="s">
        <v>362</v>
      </c>
      <c r="E2" s="363" t="s">
        <v>788</v>
      </c>
      <c r="F2" s="363" t="s">
        <v>362</v>
      </c>
      <c r="G2" s="363" t="s">
        <v>788</v>
      </c>
      <c r="H2" s="363" t="s">
        <v>362</v>
      </c>
      <c r="I2" s="363" t="s">
        <v>788</v>
      </c>
      <c r="J2" s="377" t="s">
        <v>770</v>
      </c>
    </row>
    <row r="3" spans="1:10" x14ac:dyDescent="0.2">
      <c r="A3" s="364" t="s">
        <v>771</v>
      </c>
      <c r="B3" s="365">
        <v>0</v>
      </c>
      <c r="C3" s="366">
        <v>0</v>
      </c>
      <c r="D3" s="359">
        <f>('5. Composição CT'!N26+'5. Composição CT'!N29+'5. Composição CT'!N34+'5. Composição CT'!N38+'5. Composição CT'!N42)*100</f>
        <v>0.70242590308181285</v>
      </c>
      <c r="E3" s="366">
        <v>0.17</v>
      </c>
      <c r="F3" s="359">
        <f>D3</f>
        <v>0.70242590308181285</v>
      </c>
      <c r="G3" s="366">
        <v>0.22</v>
      </c>
      <c r="H3" s="359">
        <f>D3</f>
        <v>0.70242590308181285</v>
      </c>
      <c r="I3" s="366">
        <v>0.25</v>
      </c>
      <c r="J3" s="376" t="s">
        <v>811</v>
      </c>
    </row>
    <row r="4" spans="1:10" x14ac:dyDescent="0.2">
      <c r="A4" s="367" t="s">
        <v>772</v>
      </c>
      <c r="B4" s="365">
        <v>0</v>
      </c>
      <c r="C4" s="366">
        <v>0</v>
      </c>
      <c r="D4" s="359">
        <f>('5. Composição CT'!N27+'5. Composição CT'!N36+'5. Composição CT'!N41+'5. Composição CT'!N43+'5. Composição CT'!N22)*100</f>
        <v>2.2535513090581718</v>
      </c>
      <c r="E4" s="366">
        <v>0.1</v>
      </c>
      <c r="F4" s="359">
        <f t="shared" ref="F4:F19" si="0">D4</f>
        <v>2.2535513090581718</v>
      </c>
      <c r="G4" s="366">
        <v>0.15</v>
      </c>
      <c r="H4" s="359">
        <f t="shared" ref="H4:H19" si="1">D4</f>
        <v>2.2535513090581718</v>
      </c>
      <c r="I4" s="366">
        <v>0.25</v>
      </c>
      <c r="J4" s="375" t="s">
        <v>812</v>
      </c>
    </row>
    <row r="5" spans="1:10" ht="38.25" x14ac:dyDescent="0.2">
      <c r="A5" s="383" t="s">
        <v>773</v>
      </c>
      <c r="B5" s="365">
        <v>0</v>
      </c>
      <c r="C5" s="366">
        <v>0</v>
      </c>
      <c r="D5" s="359">
        <f>('5.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60.232743096489806</v>
      </c>
      <c r="E5" s="366">
        <v>0.04</v>
      </c>
      <c r="F5" s="359">
        <f t="shared" si="0"/>
        <v>60.232743096489806</v>
      </c>
      <c r="G5" s="366">
        <v>0.06</v>
      </c>
      <c r="H5" s="359">
        <f t="shared" si="1"/>
        <v>60.232743096489806</v>
      </c>
      <c r="I5" s="366">
        <v>0.1</v>
      </c>
      <c r="J5" s="375" t="s">
        <v>822</v>
      </c>
    </row>
    <row r="6" spans="1:10" x14ac:dyDescent="0.2">
      <c r="A6" s="367" t="s">
        <v>774</v>
      </c>
      <c r="B6" s="365">
        <v>0</v>
      </c>
      <c r="C6" s="366">
        <v>0</v>
      </c>
      <c r="D6" s="359">
        <f>('5. Composição CT'!N26+'5. Composição CT'!N29+'5. Composição CT'!N34+'5. Composição CT'!N38+'5. Composição CT'!N42)*100</f>
        <v>0.70242590308181285</v>
      </c>
      <c r="E6" s="366">
        <v>0.04</v>
      </c>
      <c r="F6" s="359">
        <f t="shared" si="0"/>
        <v>0.70242590308181285</v>
      </c>
      <c r="G6" s="366">
        <v>7.0000000000000007E-2</v>
      </c>
      <c r="H6" s="359">
        <f t="shared" si="1"/>
        <v>0.70242590308181285</v>
      </c>
      <c r="I6" s="366">
        <v>0.11</v>
      </c>
      <c r="J6" s="376" t="s">
        <v>811</v>
      </c>
    </row>
    <row r="7" spans="1:10" x14ac:dyDescent="0.2">
      <c r="A7" s="367" t="s">
        <v>775</v>
      </c>
      <c r="B7" s="365">
        <v>0</v>
      </c>
      <c r="C7" s="366">
        <v>0</v>
      </c>
      <c r="D7" s="359">
        <f>('5. Composição CT'!N6+'5. Composição CT'!N10+'5. Composição CT'!N29+'5. Composição CT'!N34)*100</f>
        <v>26.876555786040868</v>
      </c>
      <c r="E7" s="366">
        <v>2.247000000000002E-3</v>
      </c>
      <c r="F7" s="359">
        <f t="shared" si="0"/>
        <v>26.876555786040868</v>
      </c>
      <c r="G7" s="366">
        <v>6.9406093680000076E-3</v>
      </c>
      <c r="H7" s="359">
        <f>D7</f>
        <v>26.876555786040868</v>
      </c>
      <c r="I7" s="366">
        <v>7.4999999999999997E-3</v>
      </c>
      <c r="J7" s="375" t="s">
        <v>813</v>
      </c>
    </row>
    <row r="8" spans="1:10" x14ac:dyDescent="0.2">
      <c r="A8" s="367" t="s">
        <v>776</v>
      </c>
      <c r="B8" s="365">
        <v>0</v>
      </c>
      <c r="C8" s="366">
        <v>0</v>
      </c>
      <c r="D8" s="359">
        <v>100</v>
      </c>
      <c r="E8" s="366">
        <v>3.7142857142857144E-2</v>
      </c>
      <c r="F8" s="359">
        <f t="shared" si="0"/>
        <v>100</v>
      </c>
      <c r="G8" s="366">
        <v>5.5714285714285716E-2</v>
      </c>
      <c r="H8" s="359">
        <f t="shared" si="1"/>
        <v>100</v>
      </c>
      <c r="I8" s="366">
        <v>9.4600000000000004E-2</v>
      </c>
      <c r="J8" s="374" t="s">
        <v>814</v>
      </c>
    </row>
    <row r="9" spans="1:10" x14ac:dyDescent="0.2">
      <c r="A9" s="367" t="s">
        <v>777</v>
      </c>
      <c r="B9" s="365">
        <v>0</v>
      </c>
      <c r="C9" s="366">
        <v>0</v>
      </c>
      <c r="D9" s="359" t="e">
        <f>(1-(1/(1+('1.1. Passageiros'!D8+0.5*'1.1. Passageiros'!D7))/'1.1. Passageiros'!D11))*100</f>
        <v>#DIV/0!</v>
      </c>
      <c r="E9" s="366">
        <v>1.7920000000000016E-2</v>
      </c>
      <c r="F9" s="359" t="e">
        <f t="shared" si="0"/>
        <v>#DIV/0!</v>
      </c>
      <c r="G9" s="366">
        <v>2.2400000000000021E-2</v>
      </c>
      <c r="H9" s="359" t="e">
        <f t="shared" si="1"/>
        <v>#DIV/0!</v>
      </c>
      <c r="I9" s="366">
        <v>3.1360000000000027E-2</v>
      </c>
      <c r="J9" s="374" t="s">
        <v>814</v>
      </c>
    </row>
    <row r="10" spans="1:10" x14ac:dyDescent="0.2">
      <c r="A10" s="367" t="s">
        <v>778</v>
      </c>
      <c r="B10" s="365">
        <v>0</v>
      </c>
      <c r="C10" s="366">
        <v>0</v>
      </c>
      <c r="D10" s="359" t="e">
        <f>('1.1. Passageiros'!D57/'1.1. Passageiros'!C52)*100</f>
        <v>#VALUE!</v>
      </c>
      <c r="E10" s="366">
        <v>2.9960000000000032E-2</v>
      </c>
      <c r="F10" s="359" t="e">
        <f t="shared" si="0"/>
        <v>#VALUE!</v>
      </c>
      <c r="G10" s="366">
        <v>4.8154400000000042E-2</v>
      </c>
      <c r="H10" s="359" t="e">
        <f t="shared" si="1"/>
        <v>#VALUE!</v>
      </c>
      <c r="I10" s="366">
        <v>6.8896016000000088E-2</v>
      </c>
      <c r="J10" s="374" t="s">
        <v>814</v>
      </c>
    </row>
    <row r="11" spans="1:10" x14ac:dyDescent="0.2">
      <c r="A11" s="367" t="s">
        <v>779</v>
      </c>
      <c r="B11" s="365">
        <v>0</v>
      </c>
      <c r="C11" s="366">
        <v>0</v>
      </c>
      <c r="D11" s="359">
        <v>100</v>
      </c>
      <c r="E11" s="366">
        <v>8.0000000000000002E-3</v>
      </c>
      <c r="F11" s="359">
        <f t="shared" si="0"/>
        <v>100</v>
      </c>
      <c r="G11" s="366">
        <v>1.2E-2</v>
      </c>
      <c r="H11" s="359">
        <f t="shared" si="1"/>
        <v>100</v>
      </c>
      <c r="I11" s="366">
        <v>2.4E-2</v>
      </c>
      <c r="J11" s="374" t="s">
        <v>814</v>
      </c>
    </row>
    <row r="12" spans="1:10" x14ac:dyDescent="0.2">
      <c r="A12" s="367" t="s">
        <v>780</v>
      </c>
      <c r="B12" s="365">
        <v>0</v>
      </c>
      <c r="C12" s="366">
        <v>0</v>
      </c>
      <c r="D12" s="359">
        <f>('2.1.c Insumos'!F105/'4. Custo Total'!H1)*100</f>
        <v>0</v>
      </c>
      <c r="E12" s="366">
        <v>5.8333333333333336E-3</v>
      </c>
      <c r="F12" s="359">
        <f t="shared" si="0"/>
        <v>0</v>
      </c>
      <c r="G12" s="366">
        <v>3.5000000000000031E-2</v>
      </c>
      <c r="H12" s="359">
        <f t="shared" si="1"/>
        <v>0</v>
      </c>
      <c r="I12" s="366">
        <v>7.4900000000000078E-2</v>
      </c>
      <c r="J12" s="374" t="s">
        <v>814</v>
      </c>
    </row>
    <row r="13" spans="1:10" x14ac:dyDescent="0.2">
      <c r="A13" s="367" t="s">
        <v>781</v>
      </c>
      <c r="B13" s="365">
        <v>0</v>
      </c>
      <c r="C13" s="366">
        <v>0</v>
      </c>
      <c r="D13" s="359">
        <v>100</v>
      </c>
      <c r="E13" s="366">
        <v>5.8333333333333336E-3</v>
      </c>
      <c r="F13" s="359">
        <f t="shared" si="0"/>
        <v>100</v>
      </c>
      <c r="G13" s="366">
        <v>3.5000000000000031E-2</v>
      </c>
      <c r="H13" s="359">
        <f t="shared" si="1"/>
        <v>100</v>
      </c>
      <c r="I13" s="366">
        <v>7.4900000000000078E-2</v>
      </c>
      <c r="J13" s="374" t="s">
        <v>814</v>
      </c>
    </row>
    <row r="14" spans="1:10" x14ac:dyDescent="0.2">
      <c r="A14" s="367" t="s">
        <v>782</v>
      </c>
      <c r="B14" s="365">
        <v>0</v>
      </c>
      <c r="C14" s="366">
        <v>0</v>
      </c>
      <c r="D14" s="359">
        <v>100</v>
      </c>
      <c r="E14" s="366">
        <v>5.0000000000000001E-3</v>
      </c>
      <c r="F14" s="359">
        <f t="shared" si="0"/>
        <v>100</v>
      </c>
      <c r="G14" s="366">
        <v>0.01</v>
      </c>
      <c r="H14" s="359">
        <f t="shared" si="1"/>
        <v>100</v>
      </c>
      <c r="I14" s="366">
        <v>1.2E-2</v>
      </c>
      <c r="J14" s="374" t="s">
        <v>814</v>
      </c>
    </row>
    <row r="15" spans="1:10" x14ac:dyDescent="0.2">
      <c r="A15" s="367" t="s">
        <v>783</v>
      </c>
      <c r="B15" s="365">
        <v>0</v>
      </c>
      <c r="C15" s="366">
        <v>0</v>
      </c>
      <c r="D15" s="359">
        <f>(SUM('5. Composição CT'!N6:N10)+'5. Composição CT'!N25+'5. Composição CT'!N33)*100</f>
        <v>40.109867734693751</v>
      </c>
      <c r="E15" s="366">
        <v>5.0000000000000001E-3</v>
      </c>
      <c r="F15" s="359">
        <f t="shared" si="0"/>
        <v>40.109867734693751</v>
      </c>
      <c r="G15" s="366">
        <v>7.4999999999999997E-3</v>
      </c>
      <c r="H15" s="359">
        <f t="shared" si="1"/>
        <v>40.109867734693751</v>
      </c>
      <c r="I15" s="366">
        <v>0.01</v>
      </c>
      <c r="J15" s="375" t="s">
        <v>818</v>
      </c>
    </row>
    <row r="16" spans="1:10" x14ac:dyDescent="0.2">
      <c r="A16" s="367" t="s">
        <v>784</v>
      </c>
      <c r="B16" s="365">
        <v>0</v>
      </c>
      <c r="C16" s="366">
        <v>0</v>
      </c>
      <c r="D16" s="359">
        <f>('5. Composição CT'!N25+'5. Composição CT'!N27+'5. Composição CT'!N33+'5. Composição CT'!N36+'5. Composição CT'!N41+'5. Composição CT'!N29+'5. Composição CT'!N38)*100</f>
        <v>4.7991222947897265</v>
      </c>
      <c r="E16" s="366">
        <v>4.0000000000000001E-3</v>
      </c>
      <c r="F16" s="359">
        <f t="shared" si="0"/>
        <v>4.7991222947897265</v>
      </c>
      <c r="G16" s="366">
        <v>8.0000000000000002E-3</v>
      </c>
      <c r="H16" s="359">
        <f t="shared" si="1"/>
        <v>4.7991222947897265</v>
      </c>
      <c r="I16" s="366">
        <v>1.4999999999999999E-2</v>
      </c>
      <c r="J16" s="375" t="s">
        <v>816</v>
      </c>
    </row>
    <row r="17" spans="1:10" ht="15.75" customHeight="1" x14ac:dyDescent="0.2">
      <c r="A17" s="367" t="s">
        <v>785</v>
      </c>
      <c r="B17" s="365">
        <v>0</v>
      </c>
      <c r="C17" s="366">
        <v>0</v>
      </c>
      <c r="D17" s="359">
        <f>('5. Composição CT'!N14+'5. Composição CT'!N15)*100</f>
        <v>37.05998982410167</v>
      </c>
      <c r="E17" s="366">
        <v>3.6960000000000031E-3</v>
      </c>
      <c r="F17" s="359">
        <f t="shared" si="0"/>
        <v>37.05998982410167</v>
      </c>
      <c r="G17" s="366">
        <v>1.2712761600000011E-2</v>
      </c>
      <c r="H17" s="359">
        <f t="shared" si="1"/>
        <v>37.05998982410167</v>
      </c>
      <c r="I17" s="366">
        <v>2.64E-2</v>
      </c>
      <c r="J17" s="374" t="s">
        <v>817</v>
      </c>
    </row>
    <row r="18" spans="1:10" ht="12.75" customHeight="1" x14ac:dyDescent="0.2">
      <c r="A18" s="367" t="s">
        <v>786</v>
      </c>
      <c r="B18" s="365">
        <v>0</v>
      </c>
      <c r="C18" s="366">
        <v>0</v>
      </c>
      <c r="D18" s="359">
        <v>100</v>
      </c>
      <c r="E18" s="366">
        <v>1.3333333333333334E-2</v>
      </c>
      <c r="F18" s="359">
        <f t="shared" si="0"/>
        <v>100</v>
      </c>
      <c r="G18" s="366">
        <v>1.3333333333333334E-2</v>
      </c>
      <c r="H18" s="359">
        <f t="shared" si="1"/>
        <v>100</v>
      </c>
      <c r="I18" s="366">
        <v>1.3333333333333334E-2</v>
      </c>
      <c r="J18" s="374" t="s">
        <v>814</v>
      </c>
    </row>
    <row r="19" spans="1:10" ht="25.5" x14ac:dyDescent="0.2">
      <c r="A19" s="367" t="s">
        <v>787</v>
      </c>
      <c r="B19" s="365">
        <v>0</v>
      </c>
      <c r="C19" s="366">
        <v>0</v>
      </c>
      <c r="D19" s="359">
        <f>(SUM('5. Composição CT'!N25:N29)+SUM('5. Composição CT'!N33:N38))*100</f>
        <v>4.19984421688482</v>
      </c>
      <c r="E19" s="366">
        <v>1.6E-2</v>
      </c>
      <c r="F19" s="359">
        <f t="shared" si="0"/>
        <v>4.19984421688482</v>
      </c>
      <c r="G19" s="366">
        <v>0.02</v>
      </c>
      <c r="H19" s="359">
        <f t="shared" si="1"/>
        <v>4.19984421688482</v>
      </c>
      <c r="I19" s="366">
        <v>2.5000000000000001E-2</v>
      </c>
      <c r="J19" s="376" t="s">
        <v>823</v>
      </c>
    </row>
  </sheetData>
  <mergeCells count="4">
    <mergeCell ref="B1:C1"/>
    <mergeCell ref="D1:E1"/>
    <mergeCell ref="F1:G1"/>
    <mergeCell ref="H1:I1"/>
  </mergeCells>
  <pageMargins left="0.511811024" right="0.511811024" top="0.78740157499999996" bottom="0.78740157499999996" header="0.31496062000000002" footer="0.31496062000000002"/>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Planilha46">
    <tabColor theme="6" tint="0.39997558519241921"/>
  </sheetPr>
  <dimension ref="B2:I49"/>
  <sheetViews>
    <sheetView workbookViewId="0">
      <selection activeCell="B3" sqref="B3"/>
    </sheetView>
  </sheetViews>
  <sheetFormatPr defaultRowHeight="12.75" x14ac:dyDescent="0.2"/>
  <cols>
    <col min="1" max="1" width="9.140625" customWidth="1"/>
    <col min="2" max="2" width="50" bestFit="1" customWidth="1"/>
    <col min="3" max="3" width="17.42578125" bestFit="1" customWidth="1"/>
    <col min="4" max="4" width="13.28515625" bestFit="1" customWidth="1"/>
  </cols>
  <sheetData>
    <row r="2" spans="2:9" ht="13.5" thickBot="1" x14ac:dyDescent="0.25"/>
    <row r="3" spans="2:9" ht="15.75" thickBot="1" x14ac:dyDescent="0.25">
      <c r="B3" s="474" t="s">
        <v>752</v>
      </c>
      <c r="C3" s="214">
        <v>12</v>
      </c>
      <c r="F3" s="844" t="s">
        <v>83</v>
      </c>
      <c r="G3" s="845"/>
      <c r="H3" s="845"/>
      <c r="I3" s="846"/>
    </row>
    <row r="4" spans="2:9" ht="15" x14ac:dyDescent="0.25">
      <c r="D4" s="502" t="s">
        <v>934</v>
      </c>
      <c r="F4" s="193"/>
      <c r="G4" s="194"/>
      <c r="H4" s="194"/>
      <c r="I4" s="195"/>
    </row>
    <row r="5" spans="2:9" ht="15" x14ac:dyDescent="0.25">
      <c r="B5" s="264" t="s">
        <v>941</v>
      </c>
      <c r="C5" s="476"/>
      <c r="D5" s="476">
        <f>C5*$C$3</f>
        <v>0</v>
      </c>
      <c r="F5" s="197"/>
      <c r="G5" s="2"/>
      <c r="H5" s="198" t="s">
        <v>81</v>
      </c>
      <c r="I5" s="199"/>
    </row>
    <row r="6" spans="2:9" ht="15" x14ac:dyDescent="0.25">
      <c r="B6" s="81"/>
      <c r="C6" s="477"/>
      <c r="F6" s="197"/>
      <c r="G6" s="4"/>
      <c r="H6" s="198" t="s">
        <v>93</v>
      </c>
      <c r="I6" s="199"/>
    </row>
    <row r="7" spans="2:9" ht="15" x14ac:dyDescent="0.25">
      <c r="B7" s="79" t="s">
        <v>412</v>
      </c>
      <c r="C7" s="476">
        <f>128.35+165</f>
        <v>293.35000000000002</v>
      </c>
      <c r="D7" s="476">
        <f>C7*$C$3</f>
        <v>3520.2000000000003</v>
      </c>
      <c r="F7" s="197"/>
      <c r="G7" s="43"/>
      <c r="H7" s="198" t="s">
        <v>82</v>
      </c>
      <c r="I7" s="199"/>
    </row>
    <row r="8" spans="2:9" ht="15.75" thickBot="1" x14ac:dyDescent="0.3">
      <c r="B8" s="78" t="s">
        <v>413</v>
      </c>
      <c r="C8" s="476">
        <f>598.11+229.9+62+100.5</f>
        <v>990.51</v>
      </c>
      <c r="D8" s="476">
        <f>C8*$C$3</f>
        <v>11886.119999999999</v>
      </c>
      <c r="F8" s="200"/>
      <c r="G8" s="201"/>
      <c r="H8" s="201"/>
      <c r="I8" s="202"/>
    </row>
    <row r="9" spans="2:9" x14ac:dyDescent="0.2">
      <c r="B9" s="78" t="s">
        <v>414</v>
      </c>
      <c r="C9" s="476">
        <f>43.47+40</f>
        <v>83.47</v>
      </c>
      <c r="D9" s="476">
        <f>C9*$C$3</f>
        <v>1001.64</v>
      </c>
    </row>
    <row r="10" spans="2:9" x14ac:dyDescent="0.2">
      <c r="B10" s="78" t="s">
        <v>415</v>
      </c>
      <c r="C10" s="476">
        <f>1998.97</f>
        <v>1998.97</v>
      </c>
      <c r="D10" s="476">
        <f>C10*$C$3</f>
        <v>23987.64</v>
      </c>
    </row>
    <row r="11" spans="2:9" x14ac:dyDescent="0.2">
      <c r="B11" s="81"/>
      <c r="C11" s="261"/>
    </row>
    <row r="12" spans="2:9" x14ac:dyDescent="0.2">
      <c r="B12" s="267" t="s">
        <v>408</v>
      </c>
      <c r="C12" s="271">
        <f>SUM(C7:C10)</f>
        <v>3366.3</v>
      </c>
      <c r="D12" s="271">
        <f>SUM(D7:D10)</f>
        <v>40395.599999999999</v>
      </c>
    </row>
    <row r="13" spans="2:9" x14ac:dyDescent="0.2">
      <c r="B13" s="266"/>
      <c r="C13" s="261"/>
    </row>
    <row r="14" spans="2:9" x14ac:dyDescent="0.2">
      <c r="B14" s="81" t="s">
        <v>932</v>
      </c>
      <c r="C14" s="476">
        <v>1026.92</v>
      </c>
      <c r="D14" s="476">
        <f>C14*$C$3</f>
        <v>12323.04</v>
      </c>
    </row>
    <row r="15" spans="2:9" x14ac:dyDescent="0.2">
      <c r="B15" s="81" t="s">
        <v>942</v>
      </c>
      <c r="C15" s="476">
        <f>672.21+989.7+228.63+4900+342.96+3869+1000+2500+390+1933.4+3231.9</f>
        <v>20057.800000000003</v>
      </c>
      <c r="D15" s="476">
        <f>C15*$C$3</f>
        <v>240693.60000000003</v>
      </c>
    </row>
    <row r="16" spans="2:9" x14ac:dyDescent="0.2">
      <c r="B16" s="81"/>
      <c r="C16" s="477"/>
    </row>
    <row r="17" spans="2:4" x14ac:dyDescent="0.2">
      <c r="B17" s="78" t="s">
        <v>416</v>
      </c>
      <c r="C17" s="476">
        <v>423.94</v>
      </c>
      <c r="D17" s="476">
        <f>C17*$C$3</f>
        <v>5087.28</v>
      </c>
    </row>
    <row r="18" spans="2:4" x14ac:dyDescent="0.2">
      <c r="B18" s="78" t="s">
        <v>417</v>
      </c>
      <c r="C18" s="476">
        <v>614.96</v>
      </c>
      <c r="D18" s="476">
        <f>C18*$C$3</f>
        <v>7379.52</v>
      </c>
    </row>
    <row r="19" spans="2:4" x14ac:dyDescent="0.2">
      <c r="B19" s="78" t="s">
        <v>418</v>
      </c>
      <c r="C19" s="476"/>
      <c r="D19" s="476">
        <f>C19*$C$3</f>
        <v>0</v>
      </c>
    </row>
    <row r="20" spans="2:4" x14ac:dyDescent="0.2">
      <c r="B20" s="81"/>
      <c r="C20" s="261"/>
    </row>
    <row r="21" spans="2:4" x14ac:dyDescent="0.2">
      <c r="B21" s="267" t="s">
        <v>409</v>
      </c>
      <c r="C21" s="271">
        <f>SUM(C17:C19)</f>
        <v>1038.9000000000001</v>
      </c>
      <c r="D21" s="271">
        <f>SUM(D17:D19)</f>
        <v>12466.8</v>
      </c>
    </row>
    <row r="22" spans="2:4" x14ac:dyDescent="0.2">
      <c r="B22" s="267"/>
      <c r="C22" s="261"/>
    </row>
    <row r="23" spans="2:4" x14ac:dyDescent="0.2">
      <c r="B23" s="78" t="s">
        <v>419</v>
      </c>
      <c r="C23" s="476">
        <f>520.92+404.88+279.69</f>
        <v>1205.49</v>
      </c>
      <c r="D23" s="476">
        <f>C23*$C$3</f>
        <v>14465.880000000001</v>
      </c>
    </row>
    <row r="24" spans="2:4" x14ac:dyDescent="0.2">
      <c r="B24" s="78" t="s">
        <v>930</v>
      </c>
      <c r="C24" s="270"/>
      <c r="D24" s="270"/>
    </row>
    <row r="25" spans="2:4" x14ac:dyDescent="0.2">
      <c r="B25" s="78" t="s">
        <v>420</v>
      </c>
      <c r="C25" s="270">
        <v>106.94</v>
      </c>
      <c r="D25" s="270">
        <f>C25*$C$3</f>
        <v>1283.28</v>
      </c>
    </row>
    <row r="26" spans="2:4" x14ac:dyDescent="0.2">
      <c r="B26" s="265"/>
      <c r="C26" s="261"/>
    </row>
    <row r="27" spans="2:4" x14ac:dyDescent="0.2">
      <c r="B27" s="267" t="s">
        <v>410</v>
      </c>
      <c r="C27" s="271">
        <f>SUM(C23:C25)</f>
        <v>1312.43</v>
      </c>
      <c r="D27" s="271">
        <f>SUM(D23:D25)</f>
        <v>15749.160000000002</v>
      </c>
    </row>
    <row r="28" spans="2:4" x14ac:dyDescent="0.2">
      <c r="B28" s="267"/>
      <c r="C28" s="261"/>
    </row>
    <row r="29" spans="2:4" x14ac:dyDescent="0.2">
      <c r="B29" s="265" t="s">
        <v>421</v>
      </c>
      <c r="C29" s="476"/>
      <c r="D29" s="476">
        <f>C29*$C$3</f>
        <v>0</v>
      </c>
    </row>
    <row r="30" spans="2:4" x14ac:dyDescent="0.2">
      <c r="B30" s="264" t="s">
        <v>940</v>
      </c>
      <c r="C30" s="476">
        <f>200+100</f>
        <v>300</v>
      </c>
      <c r="D30" s="476">
        <f>C30*$C$3</f>
        <v>3600</v>
      </c>
    </row>
    <row r="31" spans="2:4" x14ac:dyDescent="0.2">
      <c r="B31" s="265" t="s">
        <v>422</v>
      </c>
      <c r="C31" s="476">
        <v>1277.94</v>
      </c>
      <c r="D31" s="476">
        <f>C31*$C$3</f>
        <v>15335.28</v>
      </c>
    </row>
    <row r="32" spans="2:4" x14ac:dyDescent="0.2">
      <c r="B32" s="265" t="s">
        <v>931</v>
      </c>
      <c r="C32" s="476"/>
      <c r="D32" s="476">
        <f>C32*$C$3</f>
        <v>0</v>
      </c>
    </row>
    <row r="33" spans="2:4" x14ac:dyDescent="0.2">
      <c r="B33" s="265" t="s">
        <v>423</v>
      </c>
      <c r="C33" s="476">
        <v>0</v>
      </c>
      <c r="D33" s="476">
        <f>C33*$C$3</f>
        <v>0</v>
      </c>
    </row>
    <row r="34" spans="2:4" x14ac:dyDescent="0.2">
      <c r="B34" s="265"/>
      <c r="C34" s="477"/>
    </row>
    <row r="35" spans="2:4" x14ac:dyDescent="0.2">
      <c r="B35" s="78" t="s">
        <v>424</v>
      </c>
      <c r="C35" s="476"/>
      <c r="D35" s="476">
        <f t="shared" ref="D35:D43" si="0">C35*$C$3</f>
        <v>0</v>
      </c>
    </row>
    <row r="36" spans="2:4" x14ac:dyDescent="0.2">
      <c r="B36" s="78" t="s">
        <v>946</v>
      </c>
      <c r="C36" s="476"/>
      <c r="D36" s="476">
        <f t="shared" si="0"/>
        <v>0</v>
      </c>
    </row>
    <row r="37" spans="2:4" x14ac:dyDescent="0.2">
      <c r="B37" s="78" t="s">
        <v>425</v>
      </c>
      <c r="C37" s="476"/>
      <c r="D37" s="476">
        <f t="shared" si="0"/>
        <v>0</v>
      </c>
    </row>
    <row r="38" spans="2:4" x14ac:dyDescent="0.2">
      <c r="B38" s="78" t="s">
        <v>936</v>
      </c>
      <c r="C38" s="476">
        <v>176.38</v>
      </c>
      <c r="D38" s="476">
        <f t="shared" si="0"/>
        <v>2116.56</v>
      </c>
    </row>
    <row r="39" spans="2:4" x14ac:dyDescent="0.2">
      <c r="B39" s="78" t="s">
        <v>426</v>
      </c>
      <c r="C39" s="476">
        <v>2800</v>
      </c>
      <c r="D39" s="476">
        <f t="shared" si="0"/>
        <v>33600</v>
      </c>
    </row>
    <row r="40" spans="2:4" x14ac:dyDescent="0.2">
      <c r="B40" s="78" t="s">
        <v>427</v>
      </c>
      <c r="C40" s="476">
        <f>254.77+144.5+88.5+253.96+240.79</f>
        <v>982.52</v>
      </c>
      <c r="D40" s="476">
        <f t="shared" si="0"/>
        <v>11790.24</v>
      </c>
    </row>
    <row r="41" spans="2:4" x14ac:dyDescent="0.2">
      <c r="B41" s="78" t="s">
        <v>428</v>
      </c>
      <c r="C41" s="476">
        <v>490</v>
      </c>
      <c r="D41" s="476">
        <f t="shared" si="0"/>
        <v>5880</v>
      </c>
    </row>
    <row r="42" spans="2:4" x14ac:dyDescent="0.2">
      <c r="B42" s="78" t="s">
        <v>429</v>
      </c>
      <c r="C42" s="476"/>
      <c r="D42" s="476">
        <f t="shared" si="0"/>
        <v>0</v>
      </c>
    </row>
    <row r="43" spans="2:4" x14ac:dyDescent="0.2">
      <c r="B43" s="78" t="s">
        <v>952</v>
      </c>
      <c r="C43" s="476"/>
      <c r="D43" s="476">
        <f t="shared" si="0"/>
        <v>0</v>
      </c>
    </row>
    <row r="44" spans="2:4" x14ac:dyDescent="0.2">
      <c r="B44" s="265"/>
      <c r="C44" s="261"/>
    </row>
    <row r="45" spans="2:4" x14ac:dyDescent="0.2">
      <c r="B45" s="267" t="s">
        <v>411</v>
      </c>
      <c r="C45" s="271">
        <f>SUM(C35:C43)</f>
        <v>4448.8999999999996</v>
      </c>
      <c r="D45" s="271">
        <f>SUM(D35:D43)</f>
        <v>53386.799999999996</v>
      </c>
    </row>
    <row r="46" spans="2:4" x14ac:dyDescent="0.2">
      <c r="B46" s="81"/>
      <c r="C46" s="261" t="s">
        <v>431</v>
      </c>
    </row>
    <row r="47" spans="2:4" x14ac:dyDescent="0.2">
      <c r="B47" s="265" t="s">
        <v>430</v>
      </c>
      <c r="C47" s="270"/>
      <c r="D47" s="270"/>
    </row>
    <row r="48" spans="2:4" x14ac:dyDescent="0.2">
      <c r="C48" s="261" t="s">
        <v>431</v>
      </c>
    </row>
    <row r="49" spans="2:4" x14ac:dyDescent="0.2">
      <c r="B49" s="268" t="s">
        <v>753</v>
      </c>
      <c r="C49" s="269">
        <f>C47+C45+SUM(C29:C33)+C27+C21+C12+C5+C14+C15</f>
        <v>32829.19</v>
      </c>
      <c r="D49" s="269">
        <f>D47+D45+SUM(D29:D33)+D27+D21+D12+D5+D14+D15</f>
        <v>393950.28</v>
      </c>
    </row>
  </sheetData>
  <mergeCells count="1">
    <mergeCell ref="F3:I3"/>
  </mergeCells>
  <hyperlinks>
    <hyperlink ref="B3" location="'2.1.c Insumos'!A1" display="XVI. Cálculo das Despesas Gerais" xr:uid="{00000000-0004-0000-2D00-000000000000}"/>
  </hyperlink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tabColor theme="9" tint="0.59999389629810485"/>
  </sheetPr>
  <dimension ref="A1:M76"/>
  <sheetViews>
    <sheetView workbookViewId="0">
      <selection activeCell="E25" sqref="E25"/>
    </sheetView>
  </sheetViews>
  <sheetFormatPr defaultColWidth="11.42578125" defaultRowHeight="15" zeroHeight="1" x14ac:dyDescent="0.25"/>
  <cols>
    <col min="1" max="1" width="7.42578125" style="22" customWidth="1"/>
    <col min="2" max="2" width="20.85546875" style="19" customWidth="1"/>
    <col min="3" max="3" width="5.140625" style="19" bestFit="1" customWidth="1"/>
    <col min="4" max="4" width="28" style="22" customWidth="1"/>
    <col min="5" max="5" width="15.28515625" style="6" bestFit="1" customWidth="1"/>
    <col min="6" max="6" width="12" style="19" bestFit="1" customWidth="1"/>
    <col min="7" max="7" width="11.42578125" style="6" customWidth="1"/>
    <col min="8" max="8" width="1" style="6" customWidth="1"/>
    <col min="9" max="9" width="11.42578125" style="6" customWidth="1"/>
    <col min="10" max="10" width="4.5703125" style="6" customWidth="1"/>
    <col min="11" max="11" width="12.85546875" style="6" customWidth="1"/>
    <col min="12" max="12" width="11.42578125" style="6"/>
    <col min="13" max="13" width="27.7109375" style="6" customWidth="1"/>
    <col min="14" max="16384" width="11.42578125" style="6"/>
  </cols>
  <sheetData>
    <row r="1" spans="1:13" ht="15.75" thickBot="1" x14ac:dyDescent="0.3">
      <c r="A1" s="517" t="s">
        <v>513</v>
      </c>
      <c r="B1" s="517"/>
      <c r="C1" s="517"/>
      <c r="D1" s="517"/>
      <c r="E1" s="517"/>
      <c r="F1" s="517"/>
      <c r="G1" s="517"/>
      <c r="H1" s="517"/>
      <c r="I1" s="517"/>
      <c r="J1" s="517"/>
    </row>
    <row r="2" spans="1:13" ht="15.75" thickBot="1" x14ac:dyDescent="0.3">
      <c r="J2" s="518" t="s">
        <v>83</v>
      </c>
      <c r="K2" s="519"/>
      <c r="L2" s="519"/>
      <c r="M2" s="520"/>
    </row>
    <row r="3" spans="1:13" x14ac:dyDescent="0.25">
      <c r="A3" s="288" t="s">
        <v>514</v>
      </c>
      <c r="J3" s="33"/>
      <c r="K3" s="64"/>
      <c r="L3" s="64"/>
      <c r="M3" s="34"/>
    </row>
    <row r="4" spans="1:13" x14ac:dyDescent="0.25">
      <c r="A4" s="288"/>
      <c r="J4" s="35"/>
      <c r="K4" s="2"/>
      <c r="L4" s="44" t="s">
        <v>81</v>
      </c>
      <c r="M4" s="36"/>
    </row>
    <row r="5" spans="1:13" hidden="1" x14ac:dyDescent="0.25">
      <c r="A5" s="290" t="s">
        <v>530</v>
      </c>
      <c r="B5" s="21" t="s">
        <v>223</v>
      </c>
      <c r="C5" s="21"/>
      <c r="E5" s="74"/>
      <c r="F5" s="19" t="s">
        <v>19</v>
      </c>
      <c r="J5" s="35"/>
      <c r="K5" s="4"/>
      <c r="L5" s="44" t="s">
        <v>93</v>
      </c>
      <c r="M5" s="36"/>
    </row>
    <row r="6" spans="1:13" hidden="1" x14ac:dyDescent="0.25">
      <c r="A6" s="290" t="s">
        <v>531</v>
      </c>
      <c r="B6" s="21" t="s">
        <v>17</v>
      </c>
      <c r="C6" s="21"/>
      <c r="E6" s="3">
        <f>SUM('1.1. Passageiros'!C52:L52)</f>
        <v>0</v>
      </c>
      <c r="F6" s="19" t="s">
        <v>158</v>
      </c>
      <c r="J6" s="35"/>
      <c r="K6" s="43"/>
      <c r="L6" s="44" t="s">
        <v>82</v>
      </c>
      <c r="M6" s="36"/>
    </row>
    <row r="7" spans="1:13" ht="15.75" hidden="1" thickBot="1" x14ac:dyDescent="0.3">
      <c r="A7" s="290" t="s">
        <v>532</v>
      </c>
      <c r="B7" s="19" t="s">
        <v>516</v>
      </c>
      <c r="E7" s="24">
        <f>'1.1. Passageiros'!D11</f>
        <v>0</v>
      </c>
      <c r="F7" s="19" t="s">
        <v>731</v>
      </c>
      <c r="J7" s="37"/>
      <c r="K7" s="38"/>
      <c r="L7" s="38"/>
      <c r="M7" s="39"/>
    </row>
    <row r="8" spans="1:13" hidden="1" x14ac:dyDescent="0.25">
      <c r="A8" s="290" t="s">
        <v>533</v>
      </c>
      <c r="B8" s="19" t="s">
        <v>18</v>
      </c>
      <c r="E8" s="24" t="e">
        <f>E6/E5</f>
        <v>#DIV/0!</v>
      </c>
      <c r="F8" s="19" t="s">
        <v>731</v>
      </c>
    </row>
    <row r="9" spans="1:13" x14ac:dyDescent="0.25">
      <c r="A9" s="290" t="s">
        <v>534</v>
      </c>
      <c r="B9" s="19" t="s">
        <v>21</v>
      </c>
      <c r="E9" s="24">
        <f>'1.2. KM programada'!D10</f>
        <v>49917.35</v>
      </c>
      <c r="F9" s="19" t="s">
        <v>730</v>
      </c>
    </row>
    <row r="10" spans="1:13" x14ac:dyDescent="0.25"/>
    <row r="11" spans="1:13" hidden="1" x14ac:dyDescent="0.25">
      <c r="A11" s="290" t="s">
        <v>535</v>
      </c>
      <c r="B11" s="19" t="s">
        <v>815</v>
      </c>
      <c r="E11" s="3"/>
      <c r="F11" s="19" t="s">
        <v>40</v>
      </c>
    </row>
    <row r="12" spans="1:13" hidden="1" x14ac:dyDescent="0.25">
      <c r="A12" s="290" t="s">
        <v>536</v>
      </c>
      <c r="B12" s="19" t="s">
        <v>27</v>
      </c>
      <c r="E12" s="3" t="e">
        <f>E8/E9</f>
        <v>#DIV/0!</v>
      </c>
      <c r="F12" s="19" t="s">
        <v>40</v>
      </c>
    </row>
    <row r="13" spans="1:13" x14ac:dyDescent="0.25"/>
    <row r="14" spans="1:13" x14ac:dyDescent="0.25">
      <c r="A14" s="288" t="s">
        <v>517</v>
      </c>
    </row>
    <row r="15" spans="1:13" x14ac:dyDescent="0.25"/>
    <row r="16" spans="1:13" x14ac:dyDescent="0.25">
      <c r="A16" s="290" t="s">
        <v>537</v>
      </c>
      <c r="B16" s="26" t="s">
        <v>520</v>
      </c>
      <c r="E16" s="24">
        <v>16</v>
      </c>
      <c r="F16" s="19" t="s">
        <v>41</v>
      </c>
    </row>
    <row r="17" spans="1:6" x14ac:dyDescent="0.25">
      <c r="A17" s="290" t="s">
        <v>538</v>
      </c>
      <c r="B17" s="26" t="s">
        <v>518</v>
      </c>
      <c r="C17" s="255">
        <v>0.8</v>
      </c>
      <c r="D17" s="25" t="s">
        <v>42</v>
      </c>
      <c r="E17" s="24">
        <v>13</v>
      </c>
      <c r="F17" s="19" t="s">
        <v>41</v>
      </c>
    </row>
    <row r="18" spans="1:6" x14ac:dyDescent="0.25">
      <c r="A18" s="290" t="s">
        <v>539</v>
      </c>
      <c r="B18" s="26" t="s">
        <v>519</v>
      </c>
      <c r="C18" s="256">
        <v>0.2</v>
      </c>
      <c r="D18" s="25" t="s">
        <v>42</v>
      </c>
      <c r="E18" s="24">
        <v>3</v>
      </c>
      <c r="F18" s="19" t="s">
        <v>41</v>
      </c>
    </row>
    <row r="19" spans="1:6" x14ac:dyDescent="0.25"/>
    <row r="20" spans="1:6" x14ac:dyDescent="0.25">
      <c r="A20" s="290" t="s">
        <v>540</v>
      </c>
      <c r="B20" s="289" t="s">
        <v>521</v>
      </c>
      <c r="E20" s="24">
        <f>E9/E17</f>
        <v>3839.7961538461536</v>
      </c>
      <c r="F20" s="19" t="s">
        <v>522</v>
      </c>
    </row>
    <row r="21" spans="1:6" x14ac:dyDescent="0.25"/>
    <row r="22" spans="1:6" x14ac:dyDescent="0.25">
      <c r="A22" s="288" t="s">
        <v>523</v>
      </c>
    </row>
    <row r="23" spans="1:6" x14ac:dyDescent="0.25"/>
    <row r="24" spans="1:6" x14ac:dyDescent="0.25">
      <c r="A24" s="290" t="s">
        <v>541</v>
      </c>
      <c r="B24" s="6" t="s">
        <v>525</v>
      </c>
      <c r="E24" s="74">
        <v>29</v>
      </c>
      <c r="F24" s="19" t="s">
        <v>526</v>
      </c>
    </row>
    <row r="25" spans="1:6" x14ac:dyDescent="0.25">
      <c r="A25" s="290" t="s">
        <v>542</v>
      </c>
      <c r="B25" s="19" t="s">
        <v>524</v>
      </c>
      <c r="E25" s="24">
        <f>'1.1. Passageiros'!D11/('1.4 Indicadores'!E17*'1.4 Indicadores'!E24)</f>
        <v>0</v>
      </c>
      <c r="F25" s="19" t="s">
        <v>527</v>
      </c>
    </row>
    <row r="26" spans="1:6" x14ac:dyDescent="0.25"/>
    <row r="27" spans="1:6" hidden="1" x14ac:dyDescent="0.25">
      <c r="A27" s="288" t="s">
        <v>528</v>
      </c>
    </row>
    <row r="29" spans="1:6" hidden="1" x14ac:dyDescent="0.25">
      <c r="A29" s="290" t="s">
        <v>543</v>
      </c>
      <c r="B29" s="19" t="s">
        <v>529</v>
      </c>
      <c r="E29" s="24" t="e">
        <f>E8/E17</f>
        <v>#DIV/0!</v>
      </c>
      <c r="F29" s="19" t="s">
        <v>732</v>
      </c>
    </row>
    <row r="30" spans="1:6" x14ac:dyDescent="0.25"/>
    <row r="31" spans="1:6" x14ac:dyDescent="0.25"/>
    <row r="32" spans="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6" x14ac:dyDescent="0.25"/>
    <row r="50" spans="1:6" x14ac:dyDescent="0.25"/>
    <row r="51" spans="1:6" x14ac:dyDescent="0.25"/>
    <row r="52" spans="1:6" x14ac:dyDescent="0.25">
      <c r="A52" s="25"/>
    </row>
    <row r="53" spans="1:6" x14ac:dyDescent="0.25"/>
    <row r="54" spans="1:6" x14ac:dyDescent="0.25">
      <c r="B54" s="6"/>
      <c r="C54" s="6"/>
      <c r="D54" s="6"/>
      <c r="F54" s="6"/>
    </row>
    <row r="55" spans="1:6" x14ac:dyDescent="0.25">
      <c r="B55" s="6"/>
      <c r="C55" s="6"/>
      <c r="D55" s="6"/>
      <c r="F55" s="6"/>
    </row>
    <row r="56" spans="1:6" x14ac:dyDescent="0.25">
      <c r="A56" s="6"/>
      <c r="B56" s="6"/>
      <c r="C56" s="6"/>
      <c r="D56" s="6"/>
      <c r="F56" s="6"/>
    </row>
    <row r="57" spans="1:6" x14ac:dyDescent="0.25">
      <c r="A57" s="6"/>
      <c r="B57" s="6"/>
      <c r="C57" s="6"/>
      <c r="D57" s="6"/>
      <c r="F57" s="6"/>
    </row>
    <row r="58" spans="1:6" x14ac:dyDescent="0.25">
      <c r="A58" s="6"/>
      <c r="B58" s="6"/>
      <c r="C58" s="6"/>
      <c r="D58" s="6"/>
      <c r="F58" s="6"/>
    </row>
    <row r="59" spans="1:6" x14ac:dyDescent="0.25">
      <c r="F59" s="6"/>
    </row>
    <row r="60" spans="1:6" x14ac:dyDescent="0.25">
      <c r="B60" s="6"/>
      <c r="C60" s="6"/>
      <c r="D60" s="6"/>
      <c r="F60" s="6"/>
    </row>
    <row r="61" spans="1:6" x14ac:dyDescent="0.25">
      <c r="B61" s="6"/>
      <c r="C61" s="6"/>
      <c r="D61" s="6"/>
      <c r="F61" s="6"/>
    </row>
    <row r="62" spans="1:6" x14ac:dyDescent="0.25"/>
    <row r="70" spans="7:7" hidden="1" x14ac:dyDescent="0.25">
      <c r="G70" s="20"/>
    </row>
    <row r="76" spans="7:7" hidden="1" x14ac:dyDescent="0.25">
      <c r="G76" s="20"/>
    </row>
  </sheetData>
  <mergeCells count="2">
    <mergeCell ref="J2:M2"/>
    <mergeCell ref="A1:J1"/>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tabColor theme="9" tint="0.59999389629810485"/>
  </sheetPr>
  <dimension ref="A1:K77"/>
  <sheetViews>
    <sheetView topLeftCell="A53" workbookViewId="0">
      <selection activeCell="F47" sqref="F47"/>
    </sheetView>
  </sheetViews>
  <sheetFormatPr defaultColWidth="11.42578125" defaultRowHeight="15" x14ac:dyDescent="0.25"/>
  <cols>
    <col min="1" max="1" width="6.85546875" style="6" customWidth="1"/>
    <col min="2" max="2" width="36.5703125" style="6" bestFit="1" customWidth="1"/>
    <col min="3" max="3" width="27.85546875" style="6" customWidth="1"/>
    <col min="4" max="6" width="30.7109375" style="6" customWidth="1"/>
    <col min="7" max="8" width="11.42578125" style="6" customWidth="1"/>
    <col min="9" max="9" width="11.28515625" style="6" customWidth="1"/>
    <col min="10" max="10" width="3.28515625" style="6" customWidth="1"/>
    <col min="11" max="16384" width="11.42578125" style="6"/>
  </cols>
  <sheetData>
    <row r="1" spans="1:9" x14ac:dyDescent="0.25">
      <c r="A1" s="20" t="s">
        <v>544</v>
      </c>
      <c r="B1" s="20"/>
      <c r="C1" s="467" t="s">
        <v>859</v>
      </c>
      <c r="D1" s="20"/>
      <c r="E1" s="20"/>
      <c r="F1" s="20"/>
      <c r="G1" s="20"/>
      <c r="H1" s="20"/>
      <c r="I1" s="20"/>
    </row>
    <row r="3" spans="1:9" x14ac:dyDescent="0.25">
      <c r="A3" s="27" t="s">
        <v>828</v>
      </c>
      <c r="B3" s="9" t="s">
        <v>205</v>
      </c>
      <c r="C3" s="9"/>
      <c r="D3" s="9"/>
      <c r="E3" s="9"/>
    </row>
    <row r="4" spans="1:9" x14ac:dyDescent="0.25">
      <c r="A4" s="10"/>
      <c r="B4" s="390" t="s">
        <v>827</v>
      </c>
      <c r="C4" s="65"/>
      <c r="D4" s="9" t="s">
        <v>829</v>
      </c>
    </row>
    <row r="5" spans="1:9" x14ac:dyDescent="0.25">
      <c r="A5" s="10"/>
      <c r="B5" s="391" t="s">
        <v>203</v>
      </c>
      <c r="C5" s="65" t="s">
        <v>908</v>
      </c>
      <c r="D5" s="9" t="s">
        <v>830</v>
      </c>
    </row>
    <row r="7" spans="1:9" x14ac:dyDescent="0.25">
      <c r="A7" s="27" t="s">
        <v>831</v>
      </c>
    </row>
    <row r="8" spans="1:9" x14ac:dyDescent="0.25">
      <c r="A8" s="565" t="s">
        <v>7</v>
      </c>
      <c r="B8" s="566"/>
      <c r="C8" s="569" t="s">
        <v>5</v>
      </c>
      <c r="D8" s="569"/>
      <c r="E8" s="569" t="s">
        <v>6</v>
      </c>
      <c r="F8" s="569"/>
    </row>
    <row r="9" spans="1:9" x14ac:dyDescent="0.25">
      <c r="A9" s="567"/>
      <c r="B9" s="568"/>
      <c r="C9" s="18" t="s">
        <v>8</v>
      </c>
      <c r="D9" s="18" t="s">
        <v>9</v>
      </c>
      <c r="E9" s="18" t="s">
        <v>8</v>
      </c>
      <c r="F9" s="18" t="s">
        <v>9</v>
      </c>
    </row>
    <row r="10" spans="1:9" x14ac:dyDescent="0.25">
      <c r="A10" s="570" t="s">
        <v>10</v>
      </c>
      <c r="B10" s="571"/>
      <c r="C10" s="175"/>
      <c r="D10" s="175"/>
      <c r="E10" s="175"/>
      <c r="F10" s="175"/>
    </row>
    <row r="11" spans="1:9" x14ac:dyDescent="0.25">
      <c r="A11" s="570" t="s">
        <v>11</v>
      </c>
      <c r="B11" s="571"/>
      <c r="C11" s="175"/>
      <c r="D11" s="175"/>
      <c r="E11" s="175"/>
      <c r="F11" s="175"/>
    </row>
    <row r="12" spans="1:9" x14ac:dyDescent="0.25">
      <c r="A12" s="570" t="s">
        <v>12</v>
      </c>
      <c r="B12" s="571"/>
      <c r="C12" s="175"/>
      <c r="D12" s="175"/>
      <c r="E12" s="175"/>
      <c r="F12" s="175"/>
    </row>
    <row r="13" spans="1:9" x14ac:dyDescent="0.25">
      <c r="A13" s="570" t="s">
        <v>13</v>
      </c>
      <c r="B13" s="571"/>
      <c r="C13" s="175"/>
      <c r="D13" s="175"/>
      <c r="E13" s="175"/>
      <c r="F13" s="175"/>
    </row>
    <row r="14" spans="1:9" x14ac:dyDescent="0.25">
      <c r="A14" s="570" t="s">
        <v>14</v>
      </c>
      <c r="B14" s="571"/>
      <c r="C14" s="175"/>
      <c r="D14" s="175"/>
      <c r="E14" s="175"/>
      <c r="F14" s="175"/>
    </row>
    <row r="15" spans="1:9" x14ac:dyDescent="0.25">
      <c r="A15" s="570" t="s">
        <v>15</v>
      </c>
      <c r="B15" s="571"/>
      <c r="C15" s="175"/>
      <c r="D15" s="175"/>
      <c r="E15" s="175"/>
      <c r="F15" s="175"/>
    </row>
    <row r="16" spans="1:9" x14ac:dyDescent="0.25">
      <c r="A16" s="570" t="s">
        <v>16</v>
      </c>
      <c r="B16" s="571"/>
      <c r="C16" s="175"/>
      <c r="D16" s="175"/>
      <c r="E16" s="175"/>
      <c r="F16" s="175"/>
    </row>
    <row r="18" spans="1:11" ht="15.75" thickBot="1" x14ac:dyDescent="0.3">
      <c r="A18" s="27" t="s">
        <v>834</v>
      </c>
    </row>
    <row r="19" spans="1:11" ht="15.75" thickBot="1" x14ac:dyDescent="0.3">
      <c r="A19" s="565" t="s">
        <v>7</v>
      </c>
      <c r="B19" s="566"/>
      <c r="C19" s="569" t="s">
        <v>5</v>
      </c>
      <c r="D19" s="569"/>
      <c r="E19" s="569" t="s">
        <v>6</v>
      </c>
      <c r="F19" s="569"/>
      <c r="H19" s="518" t="s">
        <v>83</v>
      </c>
      <c r="I19" s="519"/>
      <c r="J19" s="519"/>
      <c r="K19" s="520"/>
    </row>
    <row r="20" spans="1:11" x14ac:dyDescent="0.25">
      <c r="A20" s="567"/>
      <c r="B20" s="568"/>
      <c r="C20" s="18" t="s">
        <v>8</v>
      </c>
      <c r="D20" s="18" t="s">
        <v>9</v>
      </c>
      <c r="E20" s="18" t="s">
        <v>8</v>
      </c>
      <c r="F20" s="18" t="s">
        <v>9</v>
      </c>
      <c r="H20" s="33"/>
      <c r="I20" s="64"/>
      <c r="J20" s="64"/>
      <c r="K20" s="34"/>
    </row>
    <row r="21" spans="1:11" ht="15" customHeight="1" x14ac:dyDescent="0.25">
      <c r="A21" s="570" t="s">
        <v>10</v>
      </c>
      <c r="B21" s="571"/>
      <c r="C21" s="175"/>
      <c r="D21" s="175"/>
      <c r="E21" s="175"/>
      <c r="F21" s="175"/>
      <c r="H21" s="35"/>
      <c r="I21" s="2"/>
      <c r="J21" s="44" t="s">
        <v>81</v>
      </c>
      <c r="K21" s="36"/>
    </row>
    <row r="22" spans="1:11" x14ac:dyDescent="0.25">
      <c r="A22" s="570" t="s">
        <v>11</v>
      </c>
      <c r="B22" s="571"/>
      <c r="C22" s="175"/>
      <c r="D22" s="175"/>
      <c r="E22" s="175"/>
      <c r="F22" s="175"/>
      <c r="H22" s="35"/>
      <c r="I22" s="4"/>
      <c r="J22" s="44" t="s">
        <v>93</v>
      </c>
      <c r="K22" s="36"/>
    </row>
    <row r="23" spans="1:11" x14ac:dyDescent="0.25">
      <c r="A23" s="570" t="s">
        <v>12</v>
      </c>
      <c r="B23" s="571"/>
      <c r="C23" s="175"/>
      <c r="D23" s="175"/>
      <c r="E23" s="175"/>
      <c r="F23" s="175"/>
      <c r="H23" s="35"/>
      <c r="I23" s="43"/>
      <c r="J23" s="44" t="s">
        <v>82</v>
      </c>
      <c r="K23" s="36"/>
    </row>
    <row r="24" spans="1:11" ht="15.75" thickBot="1" x14ac:dyDescent="0.3">
      <c r="A24" s="570" t="s">
        <v>13</v>
      </c>
      <c r="B24" s="571"/>
      <c r="C24" s="175">
        <f>C35*C46</f>
        <v>1535.9184615384615</v>
      </c>
      <c r="D24" s="175"/>
      <c r="E24" s="175">
        <f>E35*E46</f>
        <v>2035.0919615384614</v>
      </c>
      <c r="F24" s="175"/>
      <c r="H24" s="37"/>
      <c r="I24" s="38"/>
      <c r="J24" s="38"/>
      <c r="K24" s="39"/>
    </row>
    <row r="25" spans="1:11" x14ac:dyDescent="0.25">
      <c r="A25" s="570" t="s">
        <v>14</v>
      </c>
      <c r="B25" s="571"/>
      <c r="C25" s="175"/>
      <c r="D25" s="175"/>
      <c r="E25" s="175"/>
      <c r="F25" s="175"/>
    </row>
    <row r="26" spans="1:11" x14ac:dyDescent="0.25">
      <c r="A26" s="570" t="s">
        <v>15</v>
      </c>
      <c r="B26" s="571"/>
      <c r="C26" s="175"/>
      <c r="D26" s="175"/>
      <c r="E26" s="175"/>
      <c r="F26" s="175"/>
    </row>
    <row r="27" spans="1:11" x14ac:dyDescent="0.25">
      <c r="A27" s="570" t="s">
        <v>16</v>
      </c>
      <c r="B27" s="571"/>
      <c r="C27" s="175"/>
      <c r="D27" s="175"/>
      <c r="E27" s="175"/>
      <c r="F27" s="175"/>
    </row>
    <row r="29" spans="1:11" x14ac:dyDescent="0.25">
      <c r="A29" s="27" t="s">
        <v>835</v>
      </c>
    </row>
    <row r="30" spans="1:11" x14ac:dyDescent="0.25">
      <c r="A30" s="565" t="s">
        <v>7</v>
      </c>
      <c r="B30" s="566"/>
      <c r="C30" s="569" t="s">
        <v>5</v>
      </c>
      <c r="D30" s="569"/>
      <c r="E30" s="569" t="s">
        <v>6</v>
      </c>
      <c r="F30" s="569"/>
    </row>
    <row r="31" spans="1:11" x14ac:dyDescent="0.25">
      <c r="A31" s="567"/>
      <c r="B31" s="568"/>
      <c r="C31" s="18" t="s">
        <v>8</v>
      </c>
      <c r="D31" s="18" t="s">
        <v>9</v>
      </c>
      <c r="E31" s="18" t="s">
        <v>8</v>
      </c>
      <c r="F31" s="18" t="s">
        <v>9</v>
      </c>
    </row>
    <row r="32" spans="1:11" ht="15" customHeight="1" x14ac:dyDescent="0.25">
      <c r="A32" s="570" t="s">
        <v>10</v>
      </c>
      <c r="B32" s="571"/>
      <c r="C32" s="175"/>
      <c r="D32" s="175"/>
      <c r="E32" s="175"/>
      <c r="F32" s="175"/>
    </row>
    <row r="33" spans="1:6" x14ac:dyDescent="0.25">
      <c r="A33" s="570" t="s">
        <v>11</v>
      </c>
      <c r="B33" s="571"/>
      <c r="C33" s="175"/>
      <c r="D33" s="175"/>
      <c r="E33" s="175"/>
      <c r="F33" s="175"/>
    </row>
    <row r="34" spans="1:6" x14ac:dyDescent="0.25">
      <c r="A34" s="570" t="s">
        <v>12</v>
      </c>
      <c r="B34" s="571"/>
      <c r="C34" s="175"/>
      <c r="D34" s="175"/>
      <c r="E34" s="175"/>
      <c r="F34" s="175"/>
    </row>
    <row r="35" spans="1:6" x14ac:dyDescent="0.25">
      <c r="A35" s="570" t="s">
        <v>13</v>
      </c>
      <c r="B35" s="571"/>
      <c r="C35" s="175">
        <f>'1.4 Indicadores'!E20</f>
        <v>3839.7961538461536</v>
      </c>
      <c r="D35" s="175"/>
      <c r="E35" s="175">
        <f>'1.4 Indicadores'!E20</f>
        <v>3839.7961538461536</v>
      </c>
      <c r="F35" s="175"/>
    </row>
    <row r="36" spans="1:6" x14ac:dyDescent="0.25">
      <c r="A36" s="570" t="s">
        <v>14</v>
      </c>
      <c r="B36" s="571"/>
      <c r="C36" s="175"/>
      <c r="D36" s="175"/>
      <c r="E36" s="175"/>
      <c r="F36" s="175"/>
    </row>
    <row r="37" spans="1:6" x14ac:dyDescent="0.25">
      <c r="A37" s="570" t="s">
        <v>15</v>
      </c>
      <c r="B37" s="571"/>
      <c r="C37" s="175"/>
      <c r="D37" s="175"/>
      <c r="E37" s="175"/>
      <c r="F37" s="175"/>
    </row>
    <row r="38" spans="1:6" x14ac:dyDescent="0.25">
      <c r="A38" s="570" t="s">
        <v>16</v>
      </c>
      <c r="B38" s="571"/>
      <c r="C38" s="175"/>
      <c r="D38" s="175"/>
      <c r="E38" s="175"/>
      <c r="F38" s="175"/>
    </row>
    <row r="40" spans="1:6" x14ac:dyDescent="0.25">
      <c r="A40" s="27" t="s">
        <v>836</v>
      </c>
    </row>
    <row r="41" spans="1:6" x14ac:dyDescent="0.25">
      <c r="A41" s="594" t="s">
        <v>7</v>
      </c>
      <c r="B41" s="595"/>
      <c r="C41" s="591" t="s">
        <v>5</v>
      </c>
      <c r="D41" s="591"/>
      <c r="E41" s="591" t="s">
        <v>6</v>
      </c>
      <c r="F41" s="591"/>
    </row>
    <row r="42" spans="1:6" x14ac:dyDescent="0.25">
      <c r="A42" s="596"/>
      <c r="B42" s="597"/>
      <c r="C42" s="72" t="s">
        <v>8</v>
      </c>
      <c r="D42" s="72" t="s">
        <v>9</v>
      </c>
      <c r="E42" s="72" t="s">
        <v>8</v>
      </c>
      <c r="F42" s="72" t="s">
        <v>9</v>
      </c>
    </row>
    <row r="43" spans="1:6" ht="15" customHeight="1" x14ac:dyDescent="0.25">
      <c r="A43" s="592" t="s">
        <v>10</v>
      </c>
      <c r="B43" s="593"/>
      <c r="C43" s="181" t="str">
        <f>IFERROR(C21/C32,"")</f>
        <v/>
      </c>
      <c r="D43" s="181" t="str">
        <f>IFERROR(D21/D32,"")</f>
        <v/>
      </c>
      <c r="E43" s="181" t="str">
        <f>IFERROR(E21/E32,"")</f>
        <v/>
      </c>
      <c r="F43" s="181" t="str">
        <f>IFERROR(F21/F32,"")</f>
        <v/>
      </c>
    </row>
    <row r="44" spans="1:6" x14ac:dyDescent="0.25">
      <c r="A44" s="592" t="s">
        <v>11</v>
      </c>
      <c r="B44" s="593"/>
      <c r="C44" s="181" t="str">
        <f>IFERROR(C22/C33,"")</f>
        <v/>
      </c>
      <c r="D44" s="181" t="str">
        <f t="shared" ref="C44:F49" si="0">IFERROR(D22/D33,"")</f>
        <v/>
      </c>
      <c r="E44" s="181" t="str">
        <f t="shared" si="0"/>
        <v/>
      </c>
      <c r="F44" s="181" t="str">
        <f t="shared" si="0"/>
        <v/>
      </c>
    </row>
    <row r="45" spans="1:6" x14ac:dyDescent="0.25">
      <c r="A45" s="592" t="s">
        <v>12</v>
      </c>
      <c r="B45" s="593"/>
      <c r="C45" s="181" t="str">
        <f t="shared" si="0"/>
        <v/>
      </c>
      <c r="D45" s="181" t="str">
        <f t="shared" si="0"/>
        <v/>
      </c>
      <c r="E45" s="181" t="str">
        <f t="shared" si="0"/>
        <v/>
      </c>
      <c r="F45" s="181" t="str">
        <f t="shared" si="0"/>
        <v/>
      </c>
    </row>
    <row r="46" spans="1:6" x14ac:dyDescent="0.25">
      <c r="A46" s="592" t="s">
        <v>13</v>
      </c>
      <c r="B46" s="593"/>
      <c r="C46" s="181">
        <v>0.4</v>
      </c>
      <c r="D46" s="181" t="str">
        <f t="shared" si="0"/>
        <v/>
      </c>
      <c r="E46" s="181">
        <v>0.53</v>
      </c>
      <c r="F46" s="181" t="str">
        <f t="shared" si="0"/>
        <v/>
      </c>
    </row>
    <row r="47" spans="1:6" x14ac:dyDescent="0.25">
      <c r="A47" s="592" t="s">
        <v>14</v>
      </c>
      <c r="B47" s="593"/>
      <c r="C47" s="181" t="str">
        <f t="shared" si="0"/>
        <v/>
      </c>
      <c r="D47" s="181" t="str">
        <f t="shared" si="0"/>
        <v/>
      </c>
      <c r="E47" s="181" t="str">
        <f t="shared" si="0"/>
        <v/>
      </c>
      <c r="F47" s="181" t="str">
        <f t="shared" si="0"/>
        <v/>
      </c>
    </row>
    <row r="48" spans="1:6" x14ac:dyDescent="0.25">
      <c r="A48" s="592" t="s">
        <v>15</v>
      </c>
      <c r="B48" s="593"/>
      <c r="C48" s="181" t="str">
        <f t="shared" si="0"/>
        <v/>
      </c>
      <c r="D48" s="181" t="str">
        <f t="shared" si="0"/>
        <v/>
      </c>
      <c r="E48" s="181" t="str">
        <f t="shared" si="0"/>
        <v/>
      </c>
      <c r="F48" s="181" t="str">
        <f t="shared" si="0"/>
        <v/>
      </c>
    </row>
    <row r="49" spans="1:6" x14ac:dyDescent="0.25">
      <c r="A49" s="592" t="s">
        <v>16</v>
      </c>
      <c r="B49" s="593"/>
      <c r="C49" s="181" t="str">
        <f t="shared" si="0"/>
        <v/>
      </c>
      <c r="D49" s="181" t="str">
        <f t="shared" si="0"/>
        <v/>
      </c>
      <c r="E49" s="181" t="str">
        <f t="shared" si="0"/>
        <v/>
      </c>
      <c r="F49" s="181" t="str">
        <f t="shared" si="0"/>
        <v/>
      </c>
    </row>
    <row r="51" spans="1:6" x14ac:dyDescent="0.25">
      <c r="A51" s="23" t="s">
        <v>832</v>
      </c>
      <c r="B51" s="31" t="s">
        <v>764</v>
      </c>
      <c r="E51" s="291" t="s">
        <v>765</v>
      </c>
    </row>
    <row r="52" spans="1:6" x14ac:dyDescent="0.25">
      <c r="A52" s="565" t="s">
        <v>7</v>
      </c>
      <c r="B52" s="566"/>
      <c r="C52" s="569" t="s">
        <v>5</v>
      </c>
      <c r="D52" s="569"/>
      <c r="E52" s="569" t="s">
        <v>6</v>
      </c>
      <c r="F52" s="569"/>
    </row>
    <row r="53" spans="1:6" x14ac:dyDescent="0.25">
      <c r="A53" s="567"/>
      <c r="B53" s="568"/>
      <c r="C53" s="18" t="s">
        <v>8</v>
      </c>
      <c r="D53" s="18" t="s">
        <v>9</v>
      </c>
      <c r="E53" s="18" t="s">
        <v>8</v>
      </c>
      <c r="F53" s="18" t="s">
        <v>9</v>
      </c>
    </row>
    <row r="54" spans="1:6" x14ac:dyDescent="0.25">
      <c r="A54" s="570" t="s">
        <v>10</v>
      </c>
      <c r="B54" s="571"/>
      <c r="C54" s="175"/>
      <c r="D54" s="175"/>
      <c r="E54" s="175"/>
      <c r="F54" s="175"/>
    </row>
    <row r="55" spans="1:6" x14ac:dyDescent="0.25">
      <c r="A55" s="570" t="s">
        <v>11</v>
      </c>
      <c r="B55" s="571"/>
      <c r="C55" s="175"/>
      <c r="D55" s="175"/>
      <c r="E55" s="175"/>
      <c r="F55" s="175"/>
    </row>
    <row r="56" spans="1:6" x14ac:dyDescent="0.25">
      <c r="A56" s="570" t="s">
        <v>12</v>
      </c>
      <c r="B56" s="571"/>
      <c r="C56" s="175"/>
      <c r="D56" s="175"/>
      <c r="E56" s="175"/>
      <c r="F56" s="175"/>
    </row>
    <row r="57" spans="1:6" x14ac:dyDescent="0.25">
      <c r="A57" s="570" t="s">
        <v>13</v>
      </c>
      <c r="B57" s="571"/>
      <c r="C57" s="175">
        <f>C35*11</f>
        <v>42237.757692307692</v>
      </c>
      <c r="D57" s="175"/>
      <c r="E57" s="175">
        <f>E35*2</f>
        <v>7679.5923076923073</v>
      </c>
      <c r="F57" s="175"/>
    </row>
    <row r="58" spans="1:6" x14ac:dyDescent="0.25">
      <c r="A58" s="570" t="s">
        <v>14</v>
      </c>
      <c r="B58" s="571"/>
      <c r="C58" s="175"/>
      <c r="D58" s="175"/>
      <c r="E58" s="175"/>
      <c r="F58" s="175"/>
    </row>
    <row r="59" spans="1:6" x14ac:dyDescent="0.25">
      <c r="A59" s="570" t="s">
        <v>15</v>
      </c>
      <c r="B59" s="571"/>
      <c r="C59" s="175"/>
      <c r="D59" s="175"/>
      <c r="E59" s="175"/>
      <c r="F59" s="175"/>
    </row>
    <row r="60" spans="1:6" x14ac:dyDescent="0.25">
      <c r="A60" s="570" t="s">
        <v>16</v>
      </c>
      <c r="B60" s="571"/>
      <c r="C60" s="175"/>
      <c r="D60" s="175"/>
      <c r="E60" s="175"/>
      <c r="F60" s="175"/>
    </row>
    <row r="62" spans="1:6" x14ac:dyDescent="0.25">
      <c r="A62" s="27" t="s">
        <v>833</v>
      </c>
    </row>
    <row r="63" spans="1:6" x14ac:dyDescent="0.25">
      <c r="A63" s="594" t="s">
        <v>7</v>
      </c>
      <c r="B63" s="595"/>
      <c r="C63" s="591" t="s">
        <v>5</v>
      </c>
      <c r="D63" s="591"/>
      <c r="E63" s="591" t="s">
        <v>6</v>
      </c>
      <c r="F63" s="591"/>
    </row>
    <row r="64" spans="1:6" x14ac:dyDescent="0.25">
      <c r="A64" s="596"/>
      <c r="B64" s="597"/>
      <c r="C64" s="72" t="s">
        <v>8</v>
      </c>
      <c r="D64" s="72" t="s">
        <v>9</v>
      </c>
      <c r="E64" s="72" t="s">
        <v>8</v>
      </c>
      <c r="F64" s="72" t="s">
        <v>9</v>
      </c>
    </row>
    <row r="65" spans="1:6" ht="15" customHeight="1" x14ac:dyDescent="0.25">
      <c r="A65" s="592" t="s">
        <v>10</v>
      </c>
      <c r="B65" s="593"/>
      <c r="C65" s="105" t="str">
        <f>IFERROR(IF($C$4&lt;&gt;0,C10*C54,C43*C54),"")</f>
        <v/>
      </c>
      <c r="D65" s="105" t="str">
        <f>IFERROR(IF($C$4&lt;&gt;0,D10*D54,D43*D54),"")</f>
        <v/>
      </c>
      <c r="E65" s="105" t="str">
        <f>IFERROR(IF($C$4&lt;&gt;0,E10*E54,E43*E54),"")</f>
        <v/>
      </c>
      <c r="F65" s="105" t="str">
        <f>IFERROR(IF($C$4&lt;&gt;0,F10*F54,F43*F54),"")</f>
        <v/>
      </c>
    </row>
    <row r="66" spans="1:6" x14ac:dyDescent="0.25">
      <c r="A66" s="592" t="s">
        <v>11</v>
      </c>
      <c r="B66" s="593"/>
      <c r="C66" s="105" t="str">
        <f t="shared" ref="C66:F71" si="1">IFERROR(IF($C$4&lt;&gt;0,C11*C55,C44*C55),"")</f>
        <v/>
      </c>
      <c r="D66" s="105" t="str">
        <f t="shared" si="1"/>
        <v/>
      </c>
      <c r="E66" s="105" t="str">
        <f t="shared" si="1"/>
        <v/>
      </c>
      <c r="F66" s="105" t="str">
        <f t="shared" si="1"/>
        <v/>
      </c>
    </row>
    <row r="67" spans="1:6" x14ac:dyDescent="0.25">
      <c r="A67" s="592" t="s">
        <v>12</v>
      </c>
      <c r="B67" s="593"/>
      <c r="C67" s="105" t="str">
        <f t="shared" si="1"/>
        <v/>
      </c>
      <c r="D67" s="105" t="str">
        <f t="shared" si="1"/>
        <v/>
      </c>
      <c r="E67" s="105" t="str">
        <f t="shared" si="1"/>
        <v/>
      </c>
      <c r="F67" s="105" t="str">
        <f t="shared" si="1"/>
        <v/>
      </c>
    </row>
    <row r="68" spans="1:6" x14ac:dyDescent="0.25">
      <c r="A68" s="592" t="s">
        <v>13</v>
      </c>
      <c r="B68" s="593"/>
      <c r="C68" s="70">
        <f>IFERROR(IF($C$4&lt;&gt;0,C13*C57,C46*C57),"")</f>
        <v>16895.103076923078</v>
      </c>
      <c r="D68" s="70" t="str">
        <f>IFERROR(IF($C$4&lt;&gt;0,D13*D57,D46*D57),"")</f>
        <v/>
      </c>
      <c r="E68" s="70">
        <f>IFERROR(IF($C$4&lt;&gt;0,E13*E57,E46*E57),"")</f>
        <v>4070.1839230769228</v>
      </c>
      <c r="F68" s="105" t="str">
        <f t="shared" si="1"/>
        <v/>
      </c>
    </row>
    <row r="69" spans="1:6" x14ac:dyDescent="0.25">
      <c r="A69" s="592" t="s">
        <v>14</v>
      </c>
      <c r="B69" s="593"/>
      <c r="C69" s="105" t="str">
        <f t="shared" si="1"/>
        <v/>
      </c>
      <c r="D69" s="105" t="str">
        <f t="shared" si="1"/>
        <v/>
      </c>
      <c r="E69" s="105" t="str">
        <f t="shared" si="1"/>
        <v/>
      </c>
      <c r="F69" s="105" t="str">
        <f t="shared" si="1"/>
        <v/>
      </c>
    </row>
    <row r="70" spans="1:6" x14ac:dyDescent="0.25">
      <c r="A70" s="592" t="s">
        <v>15</v>
      </c>
      <c r="B70" s="593"/>
      <c r="C70" s="105" t="str">
        <f t="shared" si="1"/>
        <v/>
      </c>
      <c r="D70" s="105" t="str">
        <f>IFERROR(IF($C$4&lt;&gt;0,D15*D59,D48*D59),"")</f>
        <v/>
      </c>
      <c r="E70" s="105" t="str">
        <f t="shared" si="1"/>
        <v/>
      </c>
      <c r="F70" s="105" t="str">
        <f t="shared" si="1"/>
        <v/>
      </c>
    </row>
    <row r="71" spans="1:6" x14ac:dyDescent="0.25">
      <c r="A71" s="592" t="s">
        <v>16</v>
      </c>
      <c r="B71" s="593"/>
      <c r="C71" s="105" t="str">
        <f t="shared" si="1"/>
        <v/>
      </c>
      <c r="D71" s="105" t="str">
        <f t="shared" si="1"/>
        <v/>
      </c>
      <c r="E71" s="105" t="str">
        <f t="shared" si="1"/>
        <v/>
      </c>
      <c r="F71" s="105" t="str">
        <f>IFERROR(IF($C$4&lt;&gt;0,F16*F60,F49*F60),"")</f>
        <v/>
      </c>
    </row>
    <row r="73" spans="1:6" ht="21" x14ac:dyDescent="0.25">
      <c r="A73" s="73"/>
      <c r="B73" s="274" t="s">
        <v>80</v>
      </c>
      <c r="C73" s="71">
        <f>SUM(C65:F71)</f>
        <v>20965.287</v>
      </c>
      <c r="D73" s="32" t="s">
        <v>49</v>
      </c>
    </row>
    <row r="74" spans="1:6" x14ac:dyDescent="0.25">
      <c r="E74" s="478"/>
    </row>
    <row r="77" spans="1:6" x14ac:dyDescent="0.25">
      <c r="D77" s="292"/>
    </row>
  </sheetData>
  <mergeCells count="61">
    <mergeCell ref="A16:B16"/>
    <mergeCell ref="A8:B9"/>
    <mergeCell ref="C8:D8"/>
    <mergeCell ref="E8:F8"/>
    <mergeCell ref="A10:B10"/>
    <mergeCell ref="A11:B11"/>
    <mergeCell ref="A12:B12"/>
    <mergeCell ref="A13:B13"/>
    <mergeCell ref="A14:B14"/>
    <mergeCell ref="A15:B15"/>
    <mergeCell ref="A59:B59"/>
    <mergeCell ref="A60:B60"/>
    <mergeCell ref="A54:B54"/>
    <mergeCell ref="A52:B53"/>
    <mergeCell ref="C52:D52"/>
    <mergeCell ref="E52:F52"/>
    <mergeCell ref="H19:K19"/>
    <mergeCell ref="A63:B64"/>
    <mergeCell ref="C63:D63"/>
    <mergeCell ref="E63:F63"/>
    <mergeCell ref="A32:B32"/>
    <mergeCell ref="A35:B35"/>
    <mergeCell ref="A43:B43"/>
    <mergeCell ref="A36:B36"/>
    <mergeCell ref="A22:B22"/>
    <mergeCell ref="A23:B23"/>
    <mergeCell ref="A56:B56"/>
    <mergeCell ref="A57:B57"/>
    <mergeCell ref="A58:B58"/>
    <mergeCell ref="A55:B55"/>
    <mergeCell ref="A24:B24"/>
    <mergeCell ref="E30:F30"/>
    <mergeCell ref="A71:B71"/>
    <mergeCell ref="A65:B65"/>
    <mergeCell ref="A19:B20"/>
    <mergeCell ref="C19:D19"/>
    <mergeCell ref="E19:F19"/>
    <mergeCell ref="C30:D30"/>
    <mergeCell ref="A47:B47"/>
    <mergeCell ref="A21:B21"/>
    <mergeCell ref="A26:B26"/>
    <mergeCell ref="A27:B27"/>
    <mergeCell ref="A66:B66"/>
    <mergeCell ref="A67:B67"/>
    <mergeCell ref="A68:B68"/>
    <mergeCell ref="A69:B69"/>
    <mergeCell ref="A70:B70"/>
    <mergeCell ref="A49:B49"/>
    <mergeCell ref="A41:B42"/>
    <mergeCell ref="C41:D41"/>
    <mergeCell ref="A25:B25"/>
    <mergeCell ref="A33:B33"/>
    <mergeCell ref="A34:B34"/>
    <mergeCell ref="A30:B31"/>
    <mergeCell ref="A46:B46"/>
    <mergeCell ref="E41:F41"/>
    <mergeCell ref="A44:B44"/>
    <mergeCell ref="A45:B45"/>
    <mergeCell ref="A48:B48"/>
    <mergeCell ref="A37:B37"/>
    <mergeCell ref="A38:B38"/>
  </mergeCells>
  <hyperlinks>
    <hyperlink ref="C1" location="'A.III. Combustível'!A1" display="Consultar a aba A.III.Combustível" xr:uid="{00000000-0004-0000-0500-000000000000}"/>
  </hyperlinks>
  <pageMargins left="0.78740157499999996" right="0.78740157499999996" top="0.984251969" bottom="0.984251969" header="0.49212598499999999" footer="0.4921259849999999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tabColor theme="9" tint="0.59999389629810485"/>
  </sheetPr>
  <dimension ref="A1:G58"/>
  <sheetViews>
    <sheetView topLeftCell="A3" workbookViewId="0">
      <selection activeCell="D58" sqref="D58"/>
    </sheetView>
  </sheetViews>
  <sheetFormatPr defaultColWidth="0" defaultRowHeight="15" x14ac:dyDescent="0.25"/>
  <cols>
    <col min="1" max="1" width="7.28515625" style="6" customWidth="1"/>
    <col min="2" max="2" width="38.140625" style="6" customWidth="1"/>
    <col min="3" max="3" width="10" style="6" customWidth="1"/>
    <col min="4" max="4" width="35" style="6" customWidth="1"/>
    <col min="5" max="7" width="30.7109375" style="6" customWidth="1"/>
    <col min="8" max="8" width="5.140625" style="6" customWidth="1"/>
    <col min="9" max="16384" width="0" style="6" hidden="1"/>
  </cols>
  <sheetData>
    <row r="1" spans="1:7" x14ac:dyDescent="0.25">
      <c r="A1" s="20" t="s">
        <v>733</v>
      </c>
      <c r="B1" s="20"/>
    </row>
    <row r="3" spans="1:7" x14ac:dyDescent="0.25">
      <c r="A3" s="27" t="s">
        <v>545</v>
      </c>
      <c r="B3" s="27" t="s">
        <v>219</v>
      </c>
    </row>
    <row r="4" spans="1:7" x14ac:dyDescent="0.25">
      <c r="A4" s="565" t="s">
        <v>7</v>
      </c>
      <c r="B4" s="566"/>
      <c r="C4" s="583"/>
      <c r="D4" s="586" t="s">
        <v>5</v>
      </c>
      <c r="E4" s="587"/>
      <c r="F4" s="586" t="s">
        <v>6</v>
      </c>
      <c r="G4" s="587"/>
    </row>
    <row r="5" spans="1:7" x14ac:dyDescent="0.25">
      <c r="A5" s="567"/>
      <c r="B5" s="568"/>
      <c r="C5" s="584"/>
      <c r="D5" s="18" t="s">
        <v>8</v>
      </c>
      <c r="E5" s="18" t="s">
        <v>9</v>
      </c>
      <c r="F5" s="18" t="s">
        <v>8</v>
      </c>
      <c r="G5" s="18" t="s">
        <v>9</v>
      </c>
    </row>
    <row r="6" spans="1:7" ht="15" customHeight="1" x14ac:dyDescent="0.25">
      <c r="A6" s="570" t="s">
        <v>10</v>
      </c>
      <c r="B6" s="571"/>
      <c r="C6" s="604"/>
      <c r="D6" s="386"/>
      <c r="E6" s="386"/>
      <c r="F6" s="386"/>
      <c r="G6" s="386"/>
    </row>
    <row r="7" spans="1:7" x14ac:dyDescent="0.25">
      <c r="A7" s="570" t="s">
        <v>11</v>
      </c>
      <c r="B7" s="571"/>
      <c r="C7" s="604"/>
      <c r="D7" s="386"/>
      <c r="E7" s="386"/>
      <c r="F7" s="386"/>
      <c r="G7" s="386"/>
    </row>
    <row r="8" spans="1:7" x14ac:dyDescent="0.25">
      <c r="A8" s="570" t="s">
        <v>12</v>
      </c>
      <c r="B8" s="571"/>
      <c r="C8" s="604"/>
      <c r="D8" s="386"/>
      <c r="E8" s="386"/>
      <c r="F8" s="386"/>
      <c r="G8" s="386"/>
    </row>
    <row r="9" spans="1:7" x14ac:dyDescent="0.25">
      <c r="A9" s="570" t="s">
        <v>13</v>
      </c>
      <c r="B9" s="571"/>
      <c r="C9" s="604"/>
      <c r="D9" s="386">
        <v>645000</v>
      </c>
      <c r="E9" s="386"/>
      <c r="F9" s="386">
        <v>745760</v>
      </c>
      <c r="G9" s="386"/>
    </row>
    <row r="10" spans="1:7" x14ac:dyDescent="0.25">
      <c r="A10" s="570" t="s">
        <v>14</v>
      </c>
      <c r="B10" s="571"/>
      <c r="C10" s="604"/>
      <c r="D10" s="386"/>
      <c r="E10" s="386"/>
      <c r="F10" s="386"/>
      <c r="G10" s="386"/>
    </row>
    <row r="11" spans="1:7" x14ac:dyDescent="0.25">
      <c r="A11" s="570" t="s">
        <v>15</v>
      </c>
      <c r="B11" s="571"/>
      <c r="C11" s="604"/>
      <c r="D11" s="386"/>
      <c r="E11" s="386"/>
      <c r="F11" s="386"/>
      <c r="G11" s="386"/>
    </row>
    <row r="12" spans="1:7" x14ac:dyDescent="0.25">
      <c r="A12" s="570" t="s">
        <v>16</v>
      </c>
      <c r="B12" s="571"/>
      <c r="C12" s="604"/>
      <c r="D12" s="386"/>
      <c r="E12" s="386"/>
      <c r="F12" s="386"/>
      <c r="G12" s="386"/>
    </row>
    <row r="13" spans="1:7" x14ac:dyDescent="0.25">
      <c r="A13" s="27"/>
      <c r="B13" s="27"/>
    </row>
    <row r="14" spans="1:7" x14ac:dyDescent="0.25">
      <c r="A14" s="73" t="s">
        <v>546</v>
      </c>
      <c r="B14" s="27" t="s">
        <v>402</v>
      </c>
    </row>
    <row r="15" spans="1:7" x14ac:dyDescent="0.25">
      <c r="A15" s="569" t="s">
        <v>392</v>
      </c>
      <c r="B15" s="569"/>
      <c r="C15" s="569"/>
      <c r="D15" s="569" t="s">
        <v>398</v>
      </c>
    </row>
    <row r="16" spans="1:7" x14ac:dyDescent="0.25">
      <c r="A16" s="569"/>
      <c r="B16" s="569"/>
      <c r="C16" s="569"/>
      <c r="D16" s="569"/>
    </row>
    <row r="17" spans="1:7" x14ac:dyDescent="0.25">
      <c r="A17" s="585" t="s">
        <v>393</v>
      </c>
      <c r="B17" s="585"/>
      <c r="C17" s="585"/>
      <c r="D17" s="251"/>
    </row>
    <row r="18" spans="1:7" x14ac:dyDescent="0.25">
      <c r="A18" s="585" t="s">
        <v>394</v>
      </c>
      <c r="B18" s="585"/>
      <c r="C18" s="585"/>
      <c r="D18" s="251"/>
    </row>
    <row r="19" spans="1:7" x14ac:dyDescent="0.25">
      <c r="A19" s="585" t="s">
        <v>395</v>
      </c>
      <c r="B19" s="585"/>
      <c r="C19" s="585"/>
      <c r="D19" s="251">
        <v>35000</v>
      </c>
    </row>
    <row r="20" spans="1:7" x14ac:dyDescent="0.25">
      <c r="A20" s="585" t="s">
        <v>396</v>
      </c>
      <c r="B20" s="585"/>
      <c r="C20" s="585"/>
      <c r="D20" s="251">
        <v>35000</v>
      </c>
    </row>
    <row r="21" spans="1:7" x14ac:dyDescent="0.25">
      <c r="A21" s="585" t="s">
        <v>397</v>
      </c>
      <c r="B21" s="585"/>
      <c r="C21" s="585"/>
      <c r="D21" s="251"/>
    </row>
    <row r="22" spans="1:7" x14ac:dyDescent="0.25">
      <c r="A22" s="27"/>
      <c r="B22" s="27"/>
    </row>
    <row r="23" spans="1:7" x14ac:dyDescent="0.25">
      <c r="A23" s="27" t="s">
        <v>547</v>
      </c>
      <c r="B23" s="27" t="s">
        <v>74</v>
      </c>
    </row>
    <row r="24" spans="1:7" x14ac:dyDescent="0.25">
      <c r="A24" s="594" t="s">
        <v>7</v>
      </c>
      <c r="B24" s="595"/>
      <c r="C24" s="602"/>
      <c r="D24" s="591" t="s">
        <v>5</v>
      </c>
      <c r="E24" s="591"/>
      <c r="F24" s="591" t="s">
        <v>6</v>
      </c>
      <c r="G24" s="591"/>
    </row>
    <row r="25" spans="1:7" x14ac:dyDescent="0.25">
      <c r="A25" s="596"/>
      <c r="B25" s="597"/>
      <c r="C25" s="603"/>
      <c r="D25" s="72" t="s">
        <v>8</v>
      </c>
      <c r="E25" s="72" t="s">
        <v>9</v>
      </c>
      <c r="F25" s="72" t="s">
        <v>8</v>
      </c>
      <c r="G25" s="72" t="s">
        <v>9</v>
      </c>
    </row>
    <row r="26" spans="1:7" ht="15" customHeight="1" x14ac:dyDescent="0.25">
      <c r="A26" s="592" t="s">
        <v>10</v>
      </c>
      <c r="B26" s="593"/>
      <c r="C26" s="601"/>
      <c r="D26" s="70">
        <f>D6*'1.3 Frota Total'!C19</f>
        <v>0</v>
      </c>
      <c r="E26" s="70">
        <f>E6*'1.3 Frota Total'!D19</f>
        <v>0</v>
      </c>
      <c r="F26" s="70">
        <f>F6*'1.3 Frota Total'!E19</f>
        <v>0</v>
      </c>
      <c r="G26" s="70">
        <f>G6*'1.3 Frota Total'!F19</f>
        <v>0</v>
      </c>
    </row>
    <row r="27" spans="1:7" x14ac:dyDescent="0.25">
      <c r="A27" s="592" t="s">
        <v>11</v>
      </c>
      <c r="B27" s="593"/>
      <c r="C27" s="601"/>
      <c r="D27" s="70">
        <f>D7*'1.3 Frota Total'!C20</f>
        <v>0</v>
      </c>
      <c r="E27" s="70">
        <f>E7*'1.3 Frota Total'!D20</f>
        <v>0</v>
      </c>
      <c r="F27" s="70">
        <f>F7*'1.3 Frota Total'!E20</f>
        <v>0</v>
      </c>
      <c r="G27" s="70">
        <f>G7*'1.3 Frota Total'!F20</f>
        <v>0</v>
      </c>
    </row>
    <row r="28" spans="1:7" x14ac:dyDescent="0.25">
      <c r="A28" s="592" t="s">
        <v>12</v>
      </c>
      <c r="B28" s="593"/>
      <c r="C28" s="601"/>
      <c r="D28" s="70">
        <f>D8*'1.3 Frota Total'!C21</f>
        <v>0</v>
      </c>
      <c r="E28" s="70">
        <f>E8*'1.3 Frota Total'!D21</f>
        <v>0</v>
      </c>
      <c r="F28" s="70">
        <f>F8*'1.3 Frota Total'!E21</f>
        <v>0</v>
      </c>
      <c r="G28" s="70">
        <f>G8*'1.3 Frota Total'!F21</f>
        <v>0</v>
      </c>
    </row>
    <row r="29" spans="1:7" x14ac:dyDescent="0.25">
      <c r="A29" s="592" t="s">
        <v>13</v>
      </c>
      <c r="B29" s="593"/>
      <c r="C29" s="601"/>
      <c r="D29" s="70">
        <f>D9*D40</f>
        <v>7740000</v>
      </c>
      <c r="E29" s="70">
        <f>E9*'1.3 Frota Total'!D22</f>
        <v>0</v>
      </c>
      <c r="F29" s="70">
        <f>F9*F40</f>
        <v>1491520</v>
      </c>
      <c r="G29" s="70">
        <f>G9*'1.3 Frota Total'!F22</f>
        <v>0</v>
      </c>
    </row>
    <row r="30" spans="1:7" x14ac:dyDescent="0.25">
      <c r="A30" s="592" t="s">
        <v>14</v>
      </c>
      <c r="B30" s="593"/>
      <c r="C30" s="601"/>
      <c r="D30" s="70">
        <f>D10*'1.3 Frota Total'!C23</f>
        <v>0</v>
      </c>
      <c r="E30" s="70">
        <f>E10*'1.3 Frota Total'!D23</f>
        <v>0</v>
      </c>
      <c r="F30" s="70">
        <f>F10*'1.3 Frota Total'!E23</f>
        <v>0</v>
      </c>
      <c r="G30" s="70">
        <f>G10*'1.3 Frota Total'!F23</f>
        <v>0</v>
      </c>
    </row>
    <row r="31" spans="1:7" x14ac:dyDescent="0.25">
      <c r="A31" s="592" t="s">
        <v>15</v>
      </c>
      <c r="B31" s="593"/>
      <c r="C31" s="601"/>
      <c r="D31" s="70">
        <f>D11*'1.3 Frota Total'!C24</f>
        <v>0</v>
      </c>
      <c r="E31" s="70">
        <f>E11*'1.3 Frota Total'!D24</f>
        <v>0</v>
      </c>
      <c r="F31" s="70">
        <f>F11*'1.3 Frota Total'!E24</f>
        <v>0</v>
      </c>
      <c r="G31" s="70">
        <f>G11*'1.3 Frota Total'!F24</f>
        <v>0</v>
      </c>
    </row>
    <row r="32" spans="1:7" x14ac:dyDescent="0.25">
      <c r="A32" s="592" t="s">
        <v>16</v>
      </c>
      <c r="B32" s="593"/>
      <c r="C32" s="601"/>
      <c r="D32" s="70">
        <f>D12*'1.3 Frota Total'!C25</f>
        <v>0</v>
      </c>
      <c r="E32" s="70">
        <f>E12*'1.3 Frota Total'!D25</f>
        <v>0</v>
      </c>
      <c r="F32" s="70">
        <f>F12*'1.3 Frota Total'!E25</f>
        <v>0</v>
      </c>
      <c r="G32" s="70">
        <f>G12*'1.3 Frota Total'!F25</f>
        <v>0</v>
      </c>
    </row>
    <row r="34" spans="1:7" x14ac:dyDescent="0.25">
      <c r="A34" s="27" t="s">
        <v>548</v>
      </c>
      <c r="B34" s="27" t="s">
        <v>75</v>
      </c>
    </row>
    <row r="35" spans="1:7" x14ac:dyDescent="0.25">
      <c r="A35" s="594" t="s">
        <v>7</v>
      </c>
      <c r="B35" s="595"/>
      <c r="C35" s="602"/>
      <c r="D35" s="591" t="s">
        <v>5</v>
      </c>
      <c r="E35" s="591"/>
      <c r="F35" s="591" t="s">
        <v>6</v>
      </c>
      <c r="G35" s="591"/>
    </row>
    <row r="36" spans="1:7" x14ac:dyDescent="0.25">
      <c r="A36" s="596"/>
      <c r="B36" s="597"/>
      <c r="C36" s="603"/>
      <c r="D36" s="72" t="s">
        <v>8</v>
      </c>
      <c r="E36" s="72" t="s">
        <v>9</v>
      </c>
      <c r="F36" s="72" t="s">
        <v>8</v>
      </c>
      <c r="G36" s="72" t="s">
        <v>9</v>
      </c>
    </row>
    <row r="37" spans="1:7" ht="15" customHeight="1" x14ac:dyDescent="0.25">
      <c r="A37" s="592" t="s">
        <v>10</v>
      </c>
      <c r="B37" s="593"/>
      <c r="C37" s="601"/>
      <c r="D37" s="70" t="str">
        <f>IF(D26&lt;&gt;0,'1.3 Frota Total'!C19,"")</f>
        <v/>
      </c>
      <c r="E37" s="70" t="str">
        <f>IF(E26&lt;&gt;0,'1.3 Frota Total'!D19,"")</f>
        <v/>
      </c>
      <c r="F37" s="70" t="str">
        <f>IF(F26&lt;&gt;0,'1.3 Frota Total'!E19,"")</f>
        <v/>
      </c>
      <c r="G37" s="70" t="str">
        <f>IF(G26&lt;&gt;0,'1.3 Frota Total'!F19,"")</f>
        <v/>
      </c>
    </row>
    <row r="38" spans="1:7" x14ac:dyDescent="0.25">
      <c r="A38" s="592" t="s">
        <v>11</v>
      </c>
      <c r="B38" s="593"/>
      <c r="C38" s="601"/>
      <c r="D38" s="70" t="str">
        <f>IF(D27&lt;&gt;0,'1.3 Frota Total'!C20,"")</f>
        <v/>
      </c>
      <c r="E38" s="70" t="str">
        <f>IF(E27&lt;&gt;0,'1.3 Frota Total'!D20,"")</f>
        <v/>
      </c>
      <c r="F38" s="70" t="str">
        <f>IF(F27&lt;&gt;0,'1.3 Frota Total'!E20,"")</f>
        <v/>
      </c>
      <c r="G38" s="70" t="str">
        <f>IF(G27&lt;&gt;0,'1.3 Frota Total'!F20,"")</f>
        <v/>
      </c>
    </row>
    <row r="39" spans="1:7" x14ac:dyDescent="0.25">
      <c r="A39" s="592" t="s">
        <v>12</v>
      </c>
      <c r="B39" s="593"/>
      <c r="C39" s="601"/>
      <c r="D39" s="70" t="str">
        <f>IF(D28&lt;&gt;0,'1.3 Frota Total'!C21,"")</f>
        <v/>
      </c>
      <c r="E39" s="70" t="str">
        <f>IF(E28&lt;&gt;0,'1.3 Frota Total'!D21,"")</f>
        <v/>
      </c>
      <c r="F39" s="70" t="str">
        <f>IF(F28&lt;&gt;0,'1.3 Frota Total'!E21,"")</f>
        <v/>
      </c>
      <c r="G39" s="70" t="str">
        <f>IF(G28&lt;&gt;0,'1.3 Frota Total'!F21,"")</f>
        <v/>
      </c>
    </row>
    <row r="40" spans="1:7" x14ac:dyDescent="0.25">
      <c r="A40" s="592" t="s">
        <v>13</v>
      </c>
      <c r="B40" s="593"/>
      <c r="C40" s="601"/>
      <c r="D40" s="70">
        <v>12</v>
      </c>
      <c r="E40" s="70" t="str">
        <f>IF(E29&lt;&gt;0,'1.3 Frota Total'!D22,"")</f>
        <v/>
      </c>
      <c r="F40" s="70">
        <v>2</v>
      </c>
      <c r="G40" s="70" t="str">
        <f>IF(G29&lt;&gt;0,'1.3 Frota Total'!F22,"")</f>
        <v/>
      </c>
    </row>
    <row r="41" spans="1:7" x14ac:dyDescent="0.25">
      <c r="A41" s="592" t="s">
        <v>14</v>
      </c>
      <c r="B41" s="593"/>
      <c r="C41" s="601"/>
      <c r="D41" s="70" t="str">
        <f>IF(D30&lt;&gt;0,'1.3 Frota Total'!C23,"")</f>
        <v/>
      </c>
      <c r="E41" s="70" t="str">
        <f>IF(E30&lt;&gt;0,'1.3 Frota Total'!D23,"")</f>
        <v/>
      </c>
      <c r="F41" s="70" t="str">
        <f>IF(F30&lt;&gt;0,'1.3 Frota Total'!E23,"")</f>
        <v/>
      </c>
      <c r="G41" s="70" t="str">
        <f>IF(G30&lt;&gt;0,'1.3 Frota Total'!F23,"")</f>
        <v/>
      </c>
    </row>
    <row r="42" spans="1:7" x14ac:dyDescent="0.25">
      <c r="A42" s="592" t="s">
        <v>15</v>
      </c>
      <c r="B42" s="593"/>
      <c r="C42" s="601"/>
      <c r="D42" s="70" t="str">
        <f>IF(D31&lt;&gt;0,'1.3 Frota Total'!C24,"")</f>
        <v/>
      </c>
      <c r="E42" s="70" t="str">
        <f>IF(E31&lt;&gt;0,'1.3 Frota Total'!D24,"")</f>
        <v/>
      </c>
      <c r="F42" s="70" t="str">
        <f>IF(F31&lt;&gt;0,'1.3 Frota Total'!E24,"")</f>
        <v/>
      </c>
      <c r="G42" s="70" t="str">
        <f>IF(G31&lt;&gt;0,'1.3 Frota Total'!F24,"")</f>
        <v/>
      </c>
    </row>
    <row r="43" spans="1:7" x14ac:dyDescent="0.25">
      <c r="A43" s="592" t="s">
        <v>16</v>
      </c>
      <c r="B43" s="593"/>
      <c r="C43" s="601"/>
      <c r="D43" s="70" t="str">
        <f>IF(D32&lt;&gt;0,'1.3 Frota Total'!C25,"")</f>
        <v/>
      </c>
      <c r="E43" s="70" t="str">
        <f>IF(E32&lt;&gt;0,'1.3 Frota Total'!D25,"")</f>
        <v/>
      </c>
      <c r="F43" s="70" t="str">
        <f>IF(F32&lt;&gt;0,'1.3 Frota Total'!E25,"")</f>
        <v/>
      </c>
      <c r="G43" s="70" t="str">
        <f>IF(G32&lt;&gt;0,'1.3 Frota Total'!F25,"")</f>
        <v/>
      </c>
    </row>
    <row r="44" spans="1:7" customFormat="1" ht="12.75" x14ac:dyDescent="0.2"/>
    <row r="45" spans="1:7" x14ac:dyDescent="0.25">
      <c r="A45" s="27" t="s">
        <v>734</v>
      </c>
      <c r="B45" s="27" t="s">
        <v>222</v>
      </c>
    </row>
    <row r="46" spans="1:7" x14ac:dyDescent="0.25">
      <c r="A46" s="594" t="s">
        <v>7</v>
      </c>
      <c r="B46" s="595"/>
      <c r="C46" s="602"/>
      <c r="D46" s="591" t="s">
        <v>5</v>
      </c>
      <c r="E46" s="591"/>
      <c r="F46" s="591" t="s">
        <v>6</v>
      </c>
      <c r="G46" s="591"/>
    </row>
    <row r="47" spans="1:7" x14ac:dyDescent="0.25">
      <c r="A47" s="596"/>
      <c r="B47" s="597"/>
      <c r="C47" s="603"/>
      <c r="D47" s="72" t="s">
        <v>8</v>
      </c>
      <c r="E47" s="72" t="s">
        <v>9</v>
      </c>
      <c r="F47" s="72" t="s">
        <v>8</v>
      </c>
      <c r="G47" s="72" t="s">
        <v>9</v>
      </c>
    </row>
    <row r="48" spans="1:7" ht="15" customHeight="1" x14ac:dyDescent="0.25">
      <c r="A48" s="592" t="s">
        <v>10</v>
      </c>
      <c r="B48" s="593"/>
      <c r="C48" s="601"/>
      <c r="D48" s="182" t="str">
        <f>IF(D6&gt;0,D6-('A.VI. Rodagem'!$D43),"")</f>
        <v/>
      </c>
      <c r="E48" s="182" t="str">
        <f>IF(E6&gt;0,E6-('A.VI. Rodagem'!$D43),"")</f>
        <v/>
      </c>
      <c r="F48" s="182" t="str">
        <f>IF(F6&gt;0,F6-('A.VI. Rodagem'!$D43),"")</f>
        <v/>
      </c>
      <c r="G48" s="182" t="str">
        <f>IF(G6&gt;0,G6-('A.VI. Rodagem'!$D43),"")</f>
        <v/>
      </c>
    </row>
    <row r="49" spans="1:7" x14ac:dyDescent="0.25">
      <c r="A49" s="592" t="s">
        <v>11</v>
      </c>
      <c r="B49" s="593"/>
      <c r="C49" s="601"/>
      <c r="D49" s="182" t="str">
        <f>IF(D7&gt;0,D7-('A.VI. Rodagem'!$D44),"")</f>
        <v/>
      </c>
      <c r="E49" s="182" t="str">
        <f>IF(E7&gt;0,E7-('A.VI. Rodagem'!$D44),"")</f>
        <v/>
      </c>
      <c r="F49" s="182" t="str">
        <f>IF(F7&gt;0,F7-('A.VI. Rodagem'!$D44),"")</f>
        <v/>
      </c>
      <c r="G49" s="182" t="str">
        <f>IF(G7&gt;0,G7-('A.VI. Rodagem'!$D44),"")</f>
        <v/>
      </c>
    </row>
    <row r="50" spans="1:7" x14ac:dyDescent="0.25">
      <c r="A50" s="592" t="s">
        <v>12</v>
      </c>
      <c r="B50" s="593"/>
      <c r="C50" s="601"/>
      <c r="D50" s="182" t="str">
        <f>IF(D8&gt;0,D8-('A.VI. Rodagem'!$D45),"")</f>
        <v/>
      </c>
      <c r="E50" s="182" t="str">
        <f>IF(E8&gt;0,E8-('A.VI. Rodagem'!$D45),"")</f>
        <v/>
      </c>
      <c r="F50" s="182" t="str">
        <f>IF(F8&gt;0,F8-('A.VI. Rodagem'!$D45),"")</f>
        <v/>
      </c>
      <c r="G50" s="182" t="str">
        <f>IF(G8&gt;0,G8-('A.VI. Rodagem'!$D45),"")</f>
        <v/>
      </c>
    </row>
    <row r="51" spans="1:7" x14ac:dyDescent="0.25">
      <c r="A51" s="592" t="s">
        <v>13</v>
      </c>
      <c r="B51" s="593"/>
      <c r="C51" s="601"/>
      <c r="D51" s="182">
        <f>IF(D9&gt;0,D9-('A.VI. Rodagem'!$D46),"")</f>
        <v>630720</v>
      </c>
      <c r="E51" s="182" t="str">
        <f>IF(E9&gt;0,E9-('A.VI. Rodagem'!$D46),"")</f>
        <v/>
      </c>
      <c r="F51" s="182">
        <f>IF(F9&gt;0,F9-('A.VI. Rodagem'!$D46),"")</f>
        <v>731480</v>
      </c>
      <c r="G51" s="182" t="str">
        <f>IF(G9&gt;0,G9-('A.VI. Rodagem'!$D46),"")</f>
        <v/>
      </c>
    </row>
    <row r="52" spans="1:7" x14ac:dyDescent="0.25">
      <c r="A52" s="592" t="s">
        <v>14</v>
      </c>
      <c r="B52" s="593"/>
      <c r="C52" s="601"/>
      <c r="D52" s="182" t="str">
        <f>IF(D10&gt;0,D10-('A.VI. Rodagem'!$D47),"")</f>
        <v/>
      </c>
      <c r="E52" s="182" t="str">
        <f>IF(E10&gt;0,E10-('A.VI. Rodagem'!$D47),"")</f>
        <v/>
      </c>
      <c r="F52" s="182" t="str">
        <f>IF(F10&gt;0,F10-('A.VI. Rodagem'!$D47),"")</f>
        <v/>
      </c>
      <c r="G52" s="182" t="str">
        <f>IF(G10&gt;0,G10-('A.VI. Rodagem'!$D47),"")</f>
        <v/>
      </c>
    </row>
    <row r="53" spans="1:7" x14ac:dyDescent="0.25">
      <c r="A53" s="592" t="s">
        <v>15</v>
      </c>
      <c r="B53" s="593"/>
      <c r="C53" s="601"/>
      <c r="D53" s="182" t="str">
        <f>IF(D11&gt;0,D11-('A.VI. Rodagem'!$D48),"")</f>
        <v/>
      </c>
      <c r="E53" s="182" t="str">
        <f>IF(E11&gt;0,E11-('A.VI. Rodagem'!$D48),"")</f>
        <v/>
      </c>
      <c r="F53" s="182" t="str">
        <f>IF(F11&gt;0,F11-('A.VI. Rodagem'!$D48),"")</f>
        <v/>
      </c>
      <c r="G53" s="182" t="str">
        <f>IF(G11&gt;0,G11-('A.VI. Rodagem'!$D48),"")</f>
        <v/>
      </c>
    </row>
    <row r="54" spans="1:7" x14ac:dyDescent="0.25">
      <c r="A54" s="592" t="s">
        <v>16</v>
      </c>
      <c r="B54" s="593"/>
      <c r="C54" s="601"/>
      <c r="D54" s="182" t="str">
        <f>IF(D12&gt;0,D12-('A.VI. Rodagem'!$D49),"")</f>
        <v/>
      </c>
      <c r="E54" s="182" t="str">
        <f>IF(E12&gt;0,E12-('A.VI. Rodagem'!$D49),"")</f>
        <v/>
      </c>
      <c r="F54" s="182" t="str">
        <f>IF(F12&gt;0,F12-('A.VI. Rodagem'!$D49),"")</f>
        <v/>
      </c>
      <c r="G54" s="182" t="str">
        <f>IF(G12&gt;0,G12-('A.VI. Rodagem'!$D49),"")</f>
        <v/>
      </c>
    </row>
    <row r="55" spans="1:7" x14ac:dyDescent="0.25">
      <c r="A55" s="27"/>
      <c r="B55" s="27"/>
    </row>
    <row r="57" spans="1:7" ht="21" x14ac:dyDescent="0.25">
      <c r="A57" s="598" t="s">
        <v>220</v>
      </c>
      <c r="B57" s="599"/>
      <c r="C57" s="600"/>
      <c r="D57" s="109">
        <f>SUM(D26:G32)/SUM(D37:G43)</f>
        <v>659394.28571428568</v>
      </c>
    </row>
    <row r="58" spans="1:7" ht="21" x14ac:dyDescent="0.25">
      <c r="A58" s="598" t="s">
        <v>221</v>
      </c>
      <c r="B58" s="599"/>
      <c r="C58" s="600"/>
      <c r="D58" s="109">
        <f>D57</f>
        <v>659394.28571428568</v>
      </c>
    </row>
  </sheetData>
  <mergeCells count="49">
    <mergeCell ref="A32:C32"/>
    <mergeCell ref="A31:C31"/>
    <mergeCell ref="A35:C36"/>
    <mergeCell ref="A29:C29"/>
    <mergeCell ref="A30:C30"/>
    <mergeCell ref="A17:C17"/>
    <mergeCell ref="A18:C18"/>
    <mergeCell ref="D24:E24"/>
    <mergeCell ref="A24:C25"/>
    <mergeCell ref="A21:C21"/>
    <mergeCell ref="F35:G35"/>
    <mergeCell ref="A37:C37"/>
    <mergeCell ref="F46:G46"/>
    <mergeCell ref="A42:C42"/>
    <mergeCell ref="A19:C19"/>
    <mergeCell ref="A20:C20"/>
    <mergeCell ref="A26:C26"/>
    <mergeCell ref="A28:C28"/>
    <mergeCell ref="D35:E35"/>
    <mergeCell ref="A38:C38"/>
    <mergeCell ref="D46:E46"/>
    <mergeCell ref="A43:C43"/>
    <mergeCell ref="A39:C39"/>
    <mergeCell ref="A40:C40"/>
    <mergeCell ref="F24:G24"/>
    <mergeCell ref="A27:C27"/>
    <mergeCell ref="F4:G4"/>
    <mergeCell ref="A6:C6"/>
    <mergeCell ref="A7:C7"/>
    <mergeCell ref="A8:C8"/>
    <mergeCell ref="D15:D16"/>
    <mergeCell ref="A15:C16"/>
    <mergeCell ref="A4:C5"/>
    <mergeCell ref="D4:E4"/>
    <mergeCell ref="A9:C9"/>
    <mergeCell ref="A12:C12"/>
    <mergeCell ref="A10:C10"/>
    <mergeCell ref="A11:C11"/>
    <mergeCell ref="A58:C58"/>
    <mergeCell ref="A48:C48"/>
    <mergeCell ref="A46:C47"/>
    <mergeCell ref="A57:C57"/>
    <mergeCell ref="A41:C41"/>
    <mergeCell ref="A52:C52"/>
    <mergeCell ref="A49:C49"/>
    <mergeCell ref="A50:C50"/>
    <mergeCell ref="A54:C54"/>
    <mergeCell ref="A53:C53"/>
    <mergeCell ref="A51:C51"/>
  </mergeCells>
  <pageMargins left="0.78740157499999996" right="0.78740157499999996" top="0.984251969" bottom="0.984251969" header="0.49212598499999999" footer="0.49212598499999999"/>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tabColor theme="9" tint="0.59999389629810485"/>
    <pageSetUpPr fitToPage="1"/>
  </sheetPr>
  <dimension ref="A1:O105"/>
  <sheetViews>
    <sheetView topLeftCell="A34" workbookViewId="0">
      <selection activeCell="F50" sqref="F50"/>
    </sheetView>
  </sheetViews>
  <sheetFormatPr defaultRowHeight="12.75" x14ac:dyDescent="0.2"/>
  <cols>
    <col min="1" max="1" width="4.7109375" style="299" bestFit="1" customWidth="1"/>
    <col min="2" max="2" width="5.140625" style="78" customWidth="1"/>
    <col min="3" max="3" width="6.28515625" style="78" bestFit="1" customWidth="1"/>
    <col min="4" max="4" width="19" style="78" bestFit="1" customWidth="1"/>
    <col min="5" max="5" width="30" style="78" customWidth="1"/>
    <col min="6" max="6" width="14.28515625" bestFit="1" customWidth="1"/>
    <col min="7" max="7" width="1.85546875" style="81" customWidth="1"/>
    <col min="8" max="8" width="9.140625" style="78" customWidth="1"/>
    <col min="9" max="9" width="1.7109375" style="81" customWidth="1"/>
    <col min="10" max="10" width="36.140625" style="82" customWidth="1"/>
    <col min="11" max="11" width="9.140625" customWidth="1"/>
    <col min="12" max="12" width="1.28515625" customWidth="1"/>
    <col min="13" max="13" width="9.140625" customWidth="1"/>
    <col min="14" max="14" width="38.7109375" bestFit="1" customWidth="1"/>
    <col min="15" max="15" width="1" customWidth="1"/>
  </cols>
  <sheetData>
    <row r="1" spans="1:15" x14ac:dyDescent="0.2">
      <c r="A1" s="299" t="s">
        <v>945</v>
      </c>
      <c r="F1" s="78"/>
    </row>
    <row r="2" spans="1:15" x14ac:dyDescent="0.2">
      <c r="F2" s="78"/>
      <c r="K2" s="343"/>
    </row>
    <row r="3" spans="1:15" ht="31.5" customHeight="1" x14ac:dyDescent="0.2">
      <c r="A3" s="344"/>
      <c r="B3" s="612" t="s">
        <v>905</v>
      </c>
      <c r="C3" s="612"/>
      <c r="D3" s="612"/>
      <c r="E3" s="612"/>
      <c r="F3" s="612"/>
      <c r="G3" s="612"/>
      <c r="H3" s="612"/>
      <c r="I3" s="612"/>
      <c r="J3" s="612"/>
    </row>
    <row r="4" spans="1:15" ht="24" customHeight="1" x14ac:dyDescent="0.2">
      <c r="B4" s="291" t="s">
        <v>758</v>
      </c>
    </row>
    <row r="5" spans="1:15" s="81" customFormat="1" x14ac:dyDescent="0.2">
      <c r="A5" s="299"/>
      <c r="B5" s="78"/>
      <c r="C5" s="78"/>
      <c r="D5" s="78"/>
      <c r="E5" s="78"/>
      <c r="H5" s="78"/>
    </row>
    <row r="6" spans="1:15" s="81" customFormat="1" x14ac:dyDescent="0.2">
      <c r="A6" s="299"/>
      <c r="B6" s="78"/>
      <c r="C6" s="78"/>
      <c r="D6" s="78"/>
      <c r="E6" s="78"/>
      <c r="H6" s="78"/>
      <c r="J6" s="298"/>
    </row>
    <row r="7" spans="1:15" s="81" customFormat="1" x14ac:dyDescent="0.2">
      <c r="A7" s="299"/>
      <c r="B7" s="78"/>
      <c r="C7" s="78"/>
      <c r="D7" s="78"/>
      <c r="E7" s="78"/>
      <c r="H7" s="78"/>
      <c r="J7" s="298" t="s">
        <v>68</v>
      </c>
    </row>
    <row r="8" spans="1:15" s="81" customFormat="1" x14ac:dyDescent="0.2">
      <c r="A8" s="299" t="s">
        <v>20</v>
      </c>
      <c r="B8" s="607" t="s">
        <v>43</v>
      </c>
      <c r="C8" s="607"/>
      <c r="D8" s="607"/>
      <c r="E8" s="79"/>
      <c r="H8" s="78"/>
      <c r="J8" s="82"/>
    </row>
    <row r="9" spans="1:15" ht="15.75" thickBot="1" x14ac:dyDescent="0.3">
      <c r="C9" s="301" t="s">
        <v>603</v>
      </c>
      <c r="D9" s="607" t="s">
        <v>167</v>
      </c>
      <c r="E9" s="608"/>
      <c r="F9" s="74">
        <f>(5.37+5.24+5.35)/3</f>
        <v>5.3199999999999994</v>
      </c>
      <c r="G9" s="83"/>
      <c r="H9" s="84" t="s">
        <v>48</v>
      </c>
      <c r="J9" s="85" t="s">
        <v>86</v>
      </c>
    </row>
    <row r="10" spans="1:15" ht="15.75" thickBot="1" x14ac:dyDescent="0.25">
      <c r="F10" s="81" t="s">
        <v>945</v>
      </c>
      <c r="J10" s="85"/>
      <c r="L10" s="518" t="s">
        <v>83</v>
      </c>
      <c r="M10" s="519"/>
      <c r="N10" s="519"/>
      <c r="O10" s="520"/>
    </row>
    <row r="11" spans="1:15" ht="15.75" thickBot="1" x14ac:dyDescent="0.3">
      <c r="A11" s="299" t="s">
        <v>22</v>
      </c>
      <c r="B11" s="607" t="s">
        <v>50</v>
      </c>
      <c r="C11" s="607"/>
      <c r="D11" s="607"/>
      <c r="E11" s="79"/>
      <c r="F11" s="81"/>
      <c r="J11" s="85"/>
      <c r="L11" s="33"/>
      <c r="M11" s="64"/>
      <c r="N11" s="64"/>
      <c r="O11" s="34"/>
    </row>
    <row r="12" spans="1:15" ht="26.25" customHeight="1" thickBot="1" x14ac:dyDescent="0.3">
      <c r="C12" s="302" t="s">
        <v>604</v>
      </c>
      <c r="D12" s="605" t="s">
        <v>168</v>
      </c>
      <c r="E12" s="606"/>
      <c r="F12" s="493">
        <v>2.6499999999999999E-2</v>
      </c>
      <c r="G12" s="86"/>
      <c r="H12" s="87" t="s">
        <v>224</v>
      </c>
      <c r="J12" s="475" t="s">
        <v>67</v>
      </c>
      <c r="L12" s="35"/>
      <c r="M12" s="2"/>
      <c r="N12" s="44" t="s">
        <v>81</v>
      </c>
      <c r="O12" s="36"/>
    </row>
    <row r="13" spans="1:15" ht="15" x14ac:dyDescent="0.25">
      <c r="F13" s="81"/>
      <c r="J13" s="89"/>
      <c r="L13" s="35"/>
      <c r="M13" s="4"/>
      <c r="N13" s="44" t="s">
        <v>93</v>
      </c>
      <c r="O13" s="36"/>
    </row>
    <row r="14" spans="1:15" ht="15" x14ac:dyDescent="0.25">
      <c r="A14" s="299" t="s">
        <v>28</v>
      </c>
      <c r="B14" s="78" t="s">
        <v>44</v>
      </c>
      <c r="F14" s="81"/>
      <c r="H14" s="81"/>
      <c r="J14" s="89"/>
      <c r="L14" s="35"/>
      <c r="M14" s="43"/>
      <c r="N14" s="44" t="s">
        <v>82</v>
      </c>
      <c r="O14" s="36"/>
    </row>
    <row r="15" spans="1:15" ht="15.75" thickBot="1" x14ac:dyDescent="0.3">
      <c r="C15" s="301" t="s">
        <v>605</v>
      </c>
      <c r="D15" s="607" t="s">
        <v>169</v>
      </c>
      <c r="E15" s="608"/>
      <c r="F15" s="253">
        <v>0</v>
      </c>
      <c r="G15" s="83"/>
      <c r="H15" s="84" t="s">
        <v>48</v>
      </c>
      <c r="J15" s="85" t="s">
        <v>86</v>
      </c>
      <c r="L15" s="37"/>
      <c r="M15" s="38"/>
      <c r="N15" s="38"/>
      <c r="O15" s="39"/>
    </row>
    <row r="16" spans="1:15" ht="30" customHeight="1" x14ac:dyDescent="0.2">
      <c r="C16" s="302" t="s">
        <v>606</v>
      </c>
      <c r="D16" s="605" t="s">
        <v>170</v>
      </c>
      <c r="E16" s="606"/>
      <c r="F16" s="254"/>
      <c r="G16" s="86"/>
      <c r="H16" s="87" t="s">
        <v>51</v>
      </c>
      <c r="J16" s="88" t="s">
        <v>70</v>
      </c>
    </row>
    <row r="17" spans="1:10" x14ac:dyDescent="0.2">
      <c r="F17" s="81"/>
      <c r="J17" s="89"/>
    </row>
    <row r="18" spans="1:10" x14ac:dyDescent="0.2">
      <c r="A18" s="299" t="s">
        <v>29</v>
      </c>
      <c r="B18" s="78" t="s">
        <v>45</v>
      </c>
      <c r="D18" s="467" t="s">
        <v>746</v>
      </c>
      <c r="F18" s="81"/>
      <c r="H18" s="81"/>
      <c r="J18" s="89"/>
    </row>
    <row r="19" spans="1:10" ht="15" x14ac:dyDescent="0.25">
      <c r="C19" s="610" t="s">
        <v>607</v>
      </c>
      <c r="D19" s="609" t="s">
        <v>52</v>
      </c>
      <c r="E19" s="78" t="s">
        <v>171</v>
      </c>
      <c r="F19" s="469">
        <v>0</v>
      </c>
      <c r="G19" s="83"/>
      <c r="H19" s="84" t="s">
        <v>54</v>
      </c>
      <c r="J19" s="85" t="s">
        <v>86</v>
      </c>
    </row>
    <row r="20" spans="1:10" ht="15" x14ac:dyDescent="0.25">
      <c r="C20" s="610"/>
      <c r="D20" s="609"/>
      <c r="E20" s="78" t="s">
        <v>172</v>
      </c>
      <c r="F20" s="469">
        <v>2380</v>
      </c>
      <c r="G20" s="83"/>
      <c r="H20" s="84" t="s">
        <v>54</v>
      </c>
      <c r="J20" s="85" t="s">
        <v>86</v>
      </c>
    </row>
    <row r="21" spans="1:10" ht="15" x14ac:dyDescent="0.25">
      <c r="C21" s="610"/>
      <c r="D21" s="609"/>
      <c r="E21" s="78" t="s">
        <v>173</v>
      </c>
      <c r="F21" s="469">
        <v>0</v>
      </c>
      <c r="G21" s="83"/>
      <c r="H21" s="84" t="s">
        <v>54</v>
      </c>
      <c r="J21" s="85" t="s">
        <v>86</v>
      </c>
    </row>
    <row r="22" spans="1:10" ht="15" x14ac:dyDescent="0.25">
      <c r="C22" s="610" t="s">
        <v>608</v>
      </c>
      <c r="D22" s="613" t="s">
        <v>53</v>
      </c>
      <c r="E22" s="78" t="s">
        <v>171</v>
      </c>
      <c r="F22" s="469">
        <v>0</v>
      </c>
      <c r="G22" s="83"/>
      <c r="H22" s="84" t="s">
        <v>54</v>
      </c>
      <c r="J22" s="85" t="s">
        <v>86</v>
      </c>
    </row>
    <row r="23" spans="1:10" ht="15" x14ac:dyDescent="0.25">
      <c r="C23" s="610"/>
      <c r="D23" s="613"/>
      <c r="E23" s="78" t="s">
        <v>172</v>
      </c>
      <c r="F23" s="469">
        <v>615</v>
      </c>
      <c r="G23" s="83"/>
      <c r="H23" s="84" t="s">
        <v>54</v>
      </c>
      <c r="J23" s="85" t="s">
        <v>86</v>
      </c>
    </row>
    <row r="24" spans="1:10" ht="15" x14ac:dyDescent="0.25">
      <c r="C24" s="610"/>
      <c r="D24" s="613"/>
      <c r="E24" s="78" t="s">
        <v>173</v>
      </c>
      <c r="F24" s="469">
        <v>0</v>
      </c>
      <c r="G24" s="83"/>
      <c r="H24" s="84" t="s">
        <v>54</v>
      </c>
      <c r="J24" s="85" t="s">
        <v>86</v>
      </c>
    </row>
    <row r="25" spans="1:10" x14ac:dyDescent="0.2">
      <c r="F25" s="81"/>
      <c r="H25" s="81"/>
      <c r="J25" s="89"/>
    </row>
    <row r="26" spans="1:10" x14ac:dyDescent="0.2">
      <c r="F26" s="81"/>
      <c r="H26" s="81"/>
      <c r="J26" s="89"/>
    </row>
    <row r="27" spans="1:10" ht="13.5" thickBot="1" x14ac:dyDescent="0.25">
      <c r="A27" s="299" t="s">
        <v>592</v>
      </c>
      <c r="B27" s="78" t="s">
        <v>71</v>
      </c>
      <c r="F27" s="81"/>
      <c r="H27" s="81"/>
      <c r="J27" s="89"/>
    </row>
    <row r="28" spans="1:10" ht="25.5" customHeight="1" thickBot="1" x14ac:dyDescent="0.25">
      <c r="C28" s="302" t="s">
        <v>609</v>
      </c>
      <c r="D28" s="605" t="s">
        <v>241</v>
      </c>
      <c r="E28" s="606"/>
      <c r="F28" s="470">
        <v>1.4E-3</v>
      </c>
      <c r="G28" s="86"/>
      <c r="H28" s="87" t="s">
        <v>51</v>
      </c>
      <c r="J28" s="475" t="s">
        <v>72</v>
      </c>
    </row>
    <row r="29" spans="1:10" x14ac:dyDescent="0.2">
      <c r="F29" s="81"/>
      <c r="H29" s="81"/>
      <c r="J29" s="85"/>
    </row>
    <row r="30" spans="1:10" x14ac:dyDescent="0.2">
      <c r="A30" s="299" t="s">
        <v>593</v>
      </c>
      <c r="B30" s="78" t="s">
        <v>46</v>
      </c>
      <c r="F30" s="81"/>
      <c r="H30" s="81"/>
      <c r="J30" s="85"/>
    </row>
    <row r="31" spans="1:10" ht="15" x14ac:dyDescent="0.25">
      <c r="C31" s="301" t="s">
        <v>610</v>
      </c>
      <c r="D31" s="607" t="s">
        <v>236</v>
      </c>
      <c r="E31" s="608"/>
      <c r="F31" s="30">
        <f>'2.1.b Veículos'!D58</f>
        <v>659394.28571428568</v>
      </c>
      <c r="G31" s="83"/>
      <c r="H31" s="84" t="s">
        <v>73</v>
      </c>
      <c r="J31" s="88" t="s">
        <v>237</v>
      </c>
    </row>
    <row r="32" spans="1:10" x14ac:dyDescent="0.2">
      <c r="F32" s="81"/>
      <c r="H32" s="81"/>
      <c r="J32" s="88"/>
    </row>
    <row r="33" spans="1:14" x14ac:dyDescent="0.2">
      <c r="A33" s="299" t="s">
        <v>594</v>
      </c>
      <c r="B33" s="78" t="s">
        <v>47</v>
      </c>
      <c r="F33" s="81"/>
      <c r="H33" s="81"/>
    </row>
    <row r="34" spans="1:14" ht="15" x14ac:dyDescent="0.25">
      <c r="C34" s="301" t="s">
        <v>611</v>
      </c>
      <c r="D34" s="607" t="s">
        <v>174</v>
      </c>
      <c r="E34" s="608"/>
      <c r="F34" s="469">
        <f>2580.79+2580.79*5%</f>
        <v>2709.8294999999998</v>
      </c>
      <c r="H34" s="84" t="s">
        <v>158</v>
      </c>
      <c r="J34" s="85" t="s">
        <v>153</v>
      </c>
    </row>
    <row r="35" spans="1:14" ht="15" x14ac:dyDescent="0.25">
      <c r="C35" s="301" t="s">
        <v>612</v>
      </c>
      <c r="D35" s="607" t="s">
        <v>953</v>
      </c>
      <c r="E35" s="608"/>
      <c r="F35" s="469">
        <v>1872.1</v>
      </c>
      <c r="H35" s="84" t="s">
        <v>158</v>
      </c>
      <c r="J35" s="85" t="s">
        <v>153</v>
      </c>
    </row>
    <row r="36" spans="1:14" ht="15" x14ac:dyDescent="0.25">
      <c r="C36" s="301" t="s">
        <v>613</v>
      </c>
      <c r="D36" s="607" t="s">
        <v>915</v>
      </c>
      <c r="E36" s="608"/>
      <c r="F36" s="469">
        <f>2861.76+2861.76*5%</f>
        <v>3004.8480000000004</v>
      </c>
      <c r="H36" s="84" t="s">
        <v>158</v>
      </c>
      <c r="J36" s="85" t="s">
        <v>153</v>
      </c>
    </row>
    <row r="37" spans="1:14" ht="15" x14ac:dyDescent="0.25">
      <c r="C37" s="301" t="s">
        <v>614</v>
      </c>
      <c r="D37" s="607" t="s">
        <v>923</v>
      </c>
      <c r="E37" s="608"/>
      <c r="F37" s="469">
        <f>3328.86+3328.86*5%</f>
        <v>3495.3030000000003</v>
      </c>
      <c r="H37" s="84" t="s">
        <v>158</v>
      </c>
      <c r="J37" s="85"/>
    </row>
    <row r="38" spans="1:14" ht="15" x14ac:dyDescent="0.25">
      <c r="C38" s="301" t="s">
        <v>615</v>
      </c>
      <c r="D38" s="607" t="s">
        <v>175</v>
      </c>
      <c r="E38" s="608"/>
      <c r="F38" s="469">
        <v>450</v>
      </c>
      <c r="H38" s="84" t="s">
        <v>158</v>
      </c>
      <c r="J38" s="85" t="s">
        <v>153</v>
      </c>
    </row>
    <row r="39" spans="1:14" ht="15" x14ac:dyDescent="0.25">
      <c r="C39" s="301" t="s">
        <v>616</v>
      </c>
      <c r="D39" s="607" t="s">
        <v>954</v>
      </c>
      <c r="E39" s="608"/>
      <c r="F39" s="469">
        <v>450</v>
      </c>
      <c r="H39" s="84" t="s">
        <v>158</v>
      </c>
      <c r="J39" s="85" t="s">
        <v>153</v>
      </c>
    </row>
    <row r="40" spans="1:14" ht="15" x14ac:dyDescent="0.25">
      <c r="C40" s="301" t="s">
        <v>617</v>
      </c>
      <c r="D40" s="607" t="s">
        <v>916</v>
      </c>
      <c r="E40" s="608"/>
      <c r="F40" s="469">
        <f>450+161.49</f>
        <v>611.49</v>
      </c>
      <c r="H40" s="84" t="s">
        <v>158</v>
      </c>
      <c r="J40" s="85" t="s">
        <v>153</v>
      </c>
      <c r="N40" s="170"/>
    </row>
    <row r="41" spans="1:14" ht="15.75" thickBot="1" x14ac:dyDescent="0.3">
      <c r="C41" s="301" t="s">
        <v>618</v>
      </c>
      <c r="D41" s="607" t="s">
        <v>924</v>
      </c>
      <c r="E41" s="608"/>
      <c r="F41" s="469">
        <v>450</v>
      </c>
      <c r="H41" s="84" t="s">
        <v>158</v>
      </c>
      <c r="J41" s="85"/>
      <c r="N41" s="170"/>
    </row>
    <row r="42" spans="1:14" ht="15.75" thickBot="1" x14ac:dyDescent="0.3">
      <c r="C42" s="301" t="s">
        <v>619</v>
      </c>
      <c r="D42" s="607" t="s">
        <v>176</v>
      </c>
      <c r="E42" s="608"/>
      <c r="F42" s="471">
        <v>2</v>
      </c>
      <c r="H42" s="87" t="s">
        <v>51</v>
      </c>
      <c r="J42" s="475" t="s">
        <v>154</v>
      </c>
    </row>
    <row r="43" spans="1:14" ht="15" x14ac:dyDescent="0.25">
      <c r="C43" s="301" t="s">
        <v>620</v>
      </c>
      <c r="D43" s="607" t="s">
        <v>955</v>
      </c>
      <c r="E43" s="608"/>
      <c r="F43" s="471">
        <v>0.2</v>
      </c>
      <c r="H43" s="87" t="s">
        <v>51</v>
      </c>
      <c r="J43" s="88" t="s">
        <v>154</v>
      </c>
    </row>
    <row r="44" spans="1:14" ht="15" x14ac:dyDescent="0.25">
      <c r="C44" s="301" t="s">
        <v>621</v>
      </c>
      <c r="D44" s="607" t="s">
        <v>917</v>
      </c>
      <c r="E44" s="608"/>
      <c r="F44" s="471">
        <v>0.3</v>
      </c>
      <c r="H44" s="87" t="s">
        <v>51</v>
      </c>
      <c r="J44" s="88" t="s">
        <v>154</v>
      </c>
    </row>
    <row r="45" spans="1:14" ht="15" x14ac:dyDescent="0.25">
      <c r="C45" s="301" t="s">
        <v>622</v>
      </c>
      <c r="D45" s="79" t="s">
        <v>933</v>
      </c>
      <c r="E45" s="238"/>
      <c r="F45" s="471">
        <v>0.1</v>
      </c>
      <c r="H45" s="87" t="s">
        <v>51</v>
      </c>
      <c r="J45" s="88" t="s">
        <v>154</v>
      </c>
    </row>
    <row r="46" spans="1:14" ht="15" x14ac:dyDescent="0.25">
      <c r="C46" s="301" t="s">
        <v>623</v>
      </c>
      <c r="D46" s="607" t="s">
        <v>177</v>
      </c>
      <c r="E46" s="608"/>
      <c r="F46" s="472">
        <v>2</v>
      </c>
      <c r="H46" s="87" t="s">
        <v>51</v>
      </c>
      <c r="J46" s="88" t="s">
        <v>154</v>
      </c>
    </row>
    <row r="47" spans="1:14" ht="15" x14ac:dyDescent="0.25">
      <c r="C47" s="301" t="s">
        <v>624</v>
      </c>
      <c r="D47" s="607" t="s">
        <v>956</v>
      </c>
      <c r="E47" s="608"/>
      <c r="F47" s="472">
        <v>0.2</v>
      </c>
      <c r="H47" s="87" t="s">
        <v>51</v>
      </c>
      <c r="J47" s="88" t="s">
        <v>154</v>
      </c>
    </row>
    <row r="48" spans="1:14" ht="15" x14ac:dyDescent="0.25">
      <c r="C48" s="301" t="s">
        <v>625</v>
      </c>
      <c r="D48" s="607" t="s">
        <v>918</v>
      </c>
      <c r="E48" s="608"/>
      <c r="F48" s="472">
        <v>0.3</v>
      </c>
      <c r="H48" s="87" t="s">
        <v>51</v>
      </c>
      <c r="J48" s="88" t="s">
        <v>154</v>
      </c>
    </row>
    <row r="49" spans="1:13" ht="15" x14ac:dyDescent="0.25">
      <c r="C49" s="301" t="s">
        <v>626</v>
      </c>
      <c r="D49" s="79" t="s">
        <v>925</v>
      </c>
      <c r="E49" s="238"/>
      <c r="F49" s="472">
        <v>0.1</v>
      </c>
      <c r="H49" s="87" t="s">
        <v>51</v>
      </c>
      <c r="J49" s="88" t="s">
        <v>154</v>
      </c>
    </row>
    <row r="50" spans="1:13" ht="15.75" thickBot="1" x14ac:dyDescent="0.3">
      <c r="C50" s="301" t="s">
        <v>627</v>
      </c>
      <c r="D50" s="607" t="s">
        <v>178</v>
      </c>
      <c r="E50" s="608"/>
      <c r="F50" s="473">
        <v>43.12</v>
      </c>
      <c r="H50" s="84" t="s">
        <v>69</v>
      </c>
      <c r="J50" s="85" t="s">
        <v>153</v>
      </c>
    </row>
    <row r="51" spans="1:13" s="60" customFormat="1" ht="44.25" customHeight="1" thickBot="1" x14ac:dyDescent="0.25">
      <c r="A51" s="300"/>
      <c r="B51" s="80"/>
      <c r="C51" s="302" t="s">
        <v>628</v>
      </c>
      <c r="D51" s="605" t="s">
        <v>179</v>
      </c>
      <c r="E51" s="606"/>
      <c r="F51" s="481">
        <v>40</v>
      </c>
      <c r="G51" s="90"/>
      <c r="H51" s="87" t="s">
        <v>69</v>
      </c>
      <c r="I51" s="90"/>
      <c r="J51" s="475" t="s">
        <v>155</v>
      </c>
    </row>
    <row r="52" spans="1:13" x14ac:dyDescent="0.2">
      <c r="F52" s="81"/>
      <c r="H52" s="81"/>
    </row>
    <row r="53" spans="1:13" x14ac:dyDescent="0.2">
      <c r="A53" s="299" t="s">
        <v>595</v>
      </c>
      <c r="B53" s="78" t="s">
        <v>156</v>
      </c>
      <c r="F53" s="81"/>
      <c r="H53" s="81"/>
    </row>
    <row r="54" spans="1:13" ht="15" x14ac:dyDescent="0.25">
      <c r="C54" s="301" t="s">
        <v>629</v>
      </c>
      <c r="D54" s="607" t="s">
        <v>180</v>
      </c>
      <c r="E54" s="608"/>
      <c r="F54" s="469">
        <v>0</v>
      </c>
      <c r="H54" s="84" t="s">
        <v>157</v>
      </c>
      <c r="J54" s="85" t="s">
        <v>153</v>
      </c>
    </row>
    <row r="55" spans="1:13" ht="15" x14ac:dyDescent="0.25">
      <c r="C55" s="301" t="s">
        <v>630</v>
      </c>
      <c r="D55" s="607" t="s">
        <v>181</v>
      </c>
      <c r="E55" s="608"/>
      <c r="F55" s="469">
        <v>1455.04</v>
      </c>
      <c r="H55" s="84" t="s">
        <v>157</v>
      </c>
      <c r="J55" s="85" t="s">
        <v>153</v>
      </c>
    </row>
    <row r="56" spans="1:13" ht="15" x14ac:dyDescent="0.25">
      <c r="C56" s="301" t="s">
        <v>631</v>
      </c>
      <c r="D56" s="607" t="s">
        <v>182</v>
      </c>
      <c r="E56" s="608"/>
      <c r="F56" s="469">
        <f>'2.2 Custo Fixo'!H25*12</f>
        <v>59137.200000000004</v>
      </c>
      <c r="H56" s="84" t="s">
        <v>157</v>
      </c>
      <c r="J56" s="85" t="s">
        <v>153</v>
      </c>
    </row>
    <row r="57" spans="1:13" ht="15" x14ac:dyDescent="0.25">
      <c r="C57" s="301" t="s">
        <v>632</v>
      </c>
      <c r="D57" s="607" t="s">
        <v>183</v>
      </c>
      <c r="E57" s="608"/>
      <c r="F57" s="74">
        <v>0</v>
      </c>
      <c r="H57" s="84" t="s">
        <v>157</v>
      </c>
      <c r="J57" s="85" t="s">
        <v>153</v>
      </c>
    </row>
    <row r="58" spans="1:13" ht="15" x14ac:dyDescent="0.25">
      <c r="D58" s="79"/>
      <c r="E58" s="79"/>
      <c r="F58" s="81"/>
      <c r="H58" s="84"/>
      <c r="J58" s="85"/>
    </row>
    <row r="59" spans="1:13" x14ac:dyDescent="0.2">
      <c r="A59" s="299" t="s">
        <v>596</v>
      </c>
      <c r="B59" s="78" t="s">
        <v>142</v>
      </c>
      <c r="F59" s="81"/>
      <c r="M59" s="170"/>
    </row>
    <row r="60" spans="1:13" s="60" customFormat="1" ht="29.25" customHeight="1" x14ac:dyDescent="0.2">
      <c r="A60" s="300"/>
      <c r="B60" s="80"/>
      <c r="C60" s="302" t="s">
        <v>633</v>
      </c>
      <c r="D60" s="605" t="s">
        <v>184</v>
      </c>
      <c r="E60" s="606"/>
      <c r="F60" s="75"/>
      <c r="G60" s="86"/>
      <c r="H60" s="87" t="s">
        <v>143</v>
      </c>
      <c r="I60" s="90"/>
      <c r="J60" s="91" t="s">
        <v>153</v>
      </c>
    </row>
    <row r="61" spans="1:13" ht="15" x14ac:dyDescent="0.25">
      <c r="C61" s="302" t="s">
        <v>634</v>
      </c>
      <c r="D61" s="607" t="s">
        <v>185</v>
      </c>
      <c r="E61" s="608"/>
      <c r="F61" s="75"/>
      <c r="H61" s="84" t="s">
        <v>19</v>
      </c>
      <c r="J61" s="91" t="s">
        <v>153</v>
      </c>
    </row>
    <row r="62" spans="1:13" ht="15" x14ac:dyDescent="0.25">
      <c r="C62" s="302" t="s">
        <v>635</v>
      </c>
      <c r="D62" s="79" t="s">
        <v>654</v>
      </c>
      <c r="F62" s="75"/>
      <c r="G62" s="86"/>
      <c r="H62" s="84" t="s">
        <v>143</v>
      </c>
      <c r="J62" s="91" t="s">
        <v>153</v>
      </c>
    </row>
    <row r="63" spans="1:13" ht="15" x14ac:dyDescent="0.2">
      <c r="C63" s="302" t="s">
        <v>755</v>
      </c>
      <c r="D63" s="78" t="s">
        <v>636</v>
      </c>
      <c r="F63" s="75"/>
      <c r="H63" s="78" t="s">
        <v>401</v>
      </c>
      <c r="J63" s="91" t="s">
        <v>153</v>
      </c>
    </row>
    <row r="64" spans="1:13" x14ac:dyDescent="0.2">
      <c r="F64" s="81"/>
    </row>
    <row r="65" spans="1:14" x14ac:dyDescent="0.2">
      <c r="A65" s="299" t="s">
        <v>597</v>
      </c>
      <c r="B65" s="607" t="s">
        <v>255</v>
      </c>
      <c r="C65" s="607"/>
      <c r="D65" s="607"/>
      <c r="E65" s="79"/>
      <c r="F65" s="81"/>
    </row>
    <row r="66" spans="1:14" ht="21.75" customHeight="1" x14ac:dyDescent="0.25">
      <c r="B66" s="79"/>
      <c r="C66" s="301" t="s">
        <v>637</v>
      </c>
      <c r="D66" s="79" t="s">
        <v>638</v>
      </c>
      <c r="E66" s="79"/>
      <c r="F66" s="75">
        <v>0.98</v>
      </c>
      <c r="H66" s="84" t="s">
        <v>69</v>
      </c>
      <c r="J66" s="85" t="s">
        <v>86</v>
      </c>
    </row>
    <row r="67" spans="1:14" ht="15" x14ac:dyDescent="0.25">
      <c r="B67" s="79"/>
      <c r="C67" s="301" t="s">
        <v>640</v>
      </c>
      <c r="D67" s="79" t="s">
        <v>639</v>
      </c>
      <c r="E67" s="79"/>
      <c r="F67" s="75">
        <v>0.39</v>
      </c>
      <c r="H67" s="84" t="s">
        <v>69</v>
      </c>
      <c r="J67" s="85" t="s">
        <v>86</v>
      </c>
      <c r="N67" s="501"/>
    </row>
    <row r="68" spans="1:14" ht="15" x14ac:dyDescent="0.25">
      <c r="C68" s="301" t="s">
        <v>641</v>
      </c>
      <c r="D68" s="607" t="s">
        <v>255</v>
      </c>
      <c r="E68" s="608"/>
      <c r="F68" s="471">
        <f>F66-F67/2</f>
        <v>0.78499999999999992</v>
      </c>
      <c r="G68" s="83"/>
      <c r="H68" s="84" t="s">
        <v>69</v>
      </c>
      <c r="J68" s="85"/>
    </row>
    <row r="69" spans="1:14" x14ac:dyDescent="0.2">
      <c r="F69" s="81"/>
    </row>
    <row r="70" spans="1:14" x14ac:dyDescent="0.2">
      <c r="A70" s="299" t="s">
        <v>598</v>
      </c>
      <c r="B70" s="78" t="s">
        <v>146</v>
      </c>
      <c r="F70" s="81"/>
    </row>
    <row r="71" spans="1:14" ht="21" customHeight="1" x14ac:dyDescent="0.25">
      <c r="A71" s="300"/>
      <c r="B71" s="80"/>
      <c r="C71" s="302" t="s">
        <v>642</v>
      </c>
      <c r="D71" s="605" t="s">
        <v>186</v>
      </c>
      <c r="E71" s="606"/>
      <c r="F71" s="469">
        <v>3200000</v>
      </c>
      <c r="G71" s="86"/>
      <c r="H71" s="84" t="s">
        <v>19</v>
      </c>
      <c r="J71" s="91" t="s">
        <v>153</v>
      </c>
    </row>
    <row r="72" spans="1:14" ht="15.75" thickBot="1" x14ac:dyDescent="0.3">
      <c r="C72" s="302" t="s">
        <v>643</v>
      </c>
      <c r="D72" s="607" t="s">
        <v>187</v>
      </c>
      <c r="E72" s="608"/>
      <c r="F72" s="469">
        <v>200000</v>
      </c>
      <c r="H72" s="84" t="s">
        <v>19</v>
      </c>
      <c r="J72" s="91" t="s">
        <v>153</v>
      </c>
    </row>
    <row r="73" spans="1:14" ht="15.75" thickBot="1" x14ac:dyDescent="0.3">
      <c r="A73" s="300"/>
      <c r="C73" s="302" t="s">
        <v>644</v>
      </c>
      <c r="D73" s="607" t="s">
        <v>239</v>
      </c>
      <c r="E73" s="608"/>
      <c r="F73" s="471">
        <v>25</v>
      </c>
      <c r="G73" s="86"/>
      <c r="H73" s="84" t="s">
        <v>143</v>
      </c>
      <c r="J73" s="475" t="s">
        <v>391</v>
      </c>
    </row>
    <row r="74" spans="1:14" ht="15" x14ac:dyDescent="0.25">
      <c r="A74" s="300"/>
      <c r="C74" s="302" t="s">
        <v>645</v>
      </c>
      <c r="D74" s="607" t="s">
        <v>390</v>
      </c>
      <c r="E74" s="608"/>
      <c r="F74" s="471">
        <v>0</v>
      </c>
      <c r="G74" s="86"/>
      <c r="H74" s="84" t="s">
        <v>69</v>
      </c>
      <c r="J74" s="88" t="s">
        <v>391</v>
      </c>
    </row>
    <row r="75" spans="1:14" ht="15" x14ac:dyDescent="0.25">
      <c r="C75" s="302" t="s">
        <v>646</v>
      </c>
      <c r="D75" s="607" t="s">
        <v>188</v>
      </c>
      <c r="E75" s="608"/>
      <c r="F75" s="469">
        <v>150000</v>
      </c>
      <c r="H75" s="84" t="s">
        <v>19</v>
      </c>
      <c r="J75" s="91" t="s">
        <v>153</v>
      </c>
    </row>
    <row r="76" spans="1:14" ht="15" x14ac:dyDescent="0.25">
      <c r="C76" s="302" t="s">
        <v>647</v>
      </c>
      <c r="D76" s="607" t="s">
        <v>240</v>
      </c>
      <c r="E76" s="608"/>
      <c r="F76" s="471">
        <v>10</v>
      </c>
      <c r="G76" s="86"/>
      <c r="H76" s="84" t="s">
        <v>143</v>
      </c>
      <c r="J76" s="88" t="s">
        <v>391</v>
      </c>
    </row>
    <row r="77" spans="1:14" ht="15" x14ac:dyDescent="0.25">
      <c r="C77" s="302" t="s">
        <v>648</v>
      </c>
      <c r="D77" s="607" t="s">
        <v>754</v>
      </c>
      <c r="E77" s="608"/>
      <c r="F77" s="471">
        <v>0</v>
      </c>
      <c r="G77" s="86"/>
      <c r="H77" s="84" t="s">
        <v>69</v>
      </c>
      <c r="J77" s="88" t="s">
        <v>391</v>
      </c>
    </row>
    <row r="78" spans="1:14" ht="15" x14ac:dyDescent="0.25">
      <c r="C78" s="302" t="s">
        <v>649</v>
      </c>
      <c r="D78" s="275" t="s">
        <v>751</v>
      </c>
      <c r="E78" s="131"/>
      <c r="F78" s="75">
        <v>30000</v>
      </c>
      <c r="G78" s="86"/>
      <c r="H78" s="84" t="s">
        <v>19</v>
      </c>
      <c r="J78" s="91" t="s">
        <v>153</v>
      </c>
    </row>
    <row r="79" spans="1:14" ht="15" x14ac:dyDescent="0.25">
      <c r="C79" s="302" t="s">
        <v>650</v>
      </c>
      <c r="D79" s="275" t="s">
        <v>652</v>
      </c>
      <c r="E79" s="131"/>
      <c r="F79" s="177"/>
      <c r="G79" s="86"/>
      <c r="H79" s="84" t="s">
        <v>143</v>
      </c>
      <c r="J79" s="88" t="s">
        <v>391</v>
      </c>
    </row>
    <row r="80" spans="1:14" ht="15" x14ac:dyDescent="0.25">
      <c r="C80" s="302" t="s">
        <v>651</v>
      </c>
      <c r="D80" s="275" t="s">
        <v>653</v>
      </c>
      <c r="E80" s="131"/>
      <c r="F80" s="177"/>
      <c r="G80" s="86"/>
      <c r="H80" s="84" t="s">
        <v>69</v>
      </c>
      <c r="J80" s="88" t="s">
        <v>391</v>
      </c>
    </row>
    <row r="82" spans="1:10" x14ac:dyDescent="0.2">
      <c r="A82" s="299" t="s">
        <v>599</v>
      </c>
      <c r="B82" s="78" t="s">
        <v>159</v>
      </c>
      <c r="F82" s="81"/>
    </row>
    <row r="83" spans="1:10" s="60" customFormat="1" ht="50.25" customHeight="1" x14ac:dyDescent="0.2">
      <c r="A83" s="300"/>
      <c r="B83" s="80"/>
      <c r="C83" s="302" t="s">
        <v>656</v>
      </c>
      <c r="D83" s="605" t="s">
        <v>193</v>
      </c>
      <c r="E83" s="606"/>
      <c r="F83" s="461">
        <v>0</v>
      </c>
      <c r="G83" s="86"/>
      <c r="H83" s="87" t="s">
        <v>158</v>
      </c>
      <c r="I83" s="90"/>
      <c r="J83" s="91" t="s">
        <v>153</v>
      </c>
    </row>
    <row r="84" spans="1:10" s="60" customFormat="1" ht="26.25" customHeight="1" x14ac:dyDescent="0.2">
      <c r="A84" s="300"/>
      <c r="B84" s="80"/>
      <c r="C84" s="302" t="s">
        <v>657</v>
      </c>
      <c r="D84" s="605" t="s">
        <v>189</v>
      </c>
      <c r="E84" s="606"/>
      <c r="F84" s="461">
        <f>'2.2 Custo Fixo'!H30*12</f>
        <v>67452</v>
      </c>
      <c r="G84" s="86"/>
      <c r="H84" s="87" t="s">
        <v>160</v>
      </c>
      <c r="I84" s="90"/>
      <c r="J84" s="91" t="s">
        <v>153</v>
      </c>
    </row>
    <row r="85" spans="1:10" s="60" customFormat="1" ht="24.75" customHeight="1" x14ac:dyDescent="0.2">
      <c r="A85" s="300"/>
      <c r="B85" s="80"/>
      <c r="C85" s="302" t="s">
        <v>658</v>
      </c>
      <c r="D85" s="605" t="s">
        <v>190</v>
      </c>
      <c r="E85" s="606"/>
      <c r="F85" s="75">
        <v>0</v>
      </c>
      <c r="G85" s="86"/>
      <c r="H85" s="87" t="s">
        <v>157</v>
      </c>
      <c r="I85" s="90"/>
      <c r="J85" s="91" t="s">
        <v>153</v>
      </c>
    </row>
    <row r="86" spans="1:10" s="60" customFormat="1" ht="24.75" customHeight="1" x14ac:dyDescent="0.2">
      <c r="A86" s="300"/>
      <c r="B86" s="80"/>
      <c r="C86" s="302" t="s">
        <v>659</v>
      </c>
      <c r="D86" s="605" t="s">
        <v>191</v>
      </c>
      <c r="E86" s="606"/>
      <c r="F86" s="75">
        <v>16</v>
      </c>
      <c r="G86" s="86"/>
      <c r="H86" s="87" t="s">
        <v>161</v>
      </c>
      <c r="I86" s="90"/>
      <c r="J86" s="91" t="s">
        <v>153</v>
      </c>
    </row>
    <row r="87" spans="1:10" s="60" customFormat="1" ht="24.75" customHeight="1" x14ac:dyDescent="0.2">
      <c r="A87" s="300"/>
      <c r="B87" s="80"/>
      <c r="C87" s="302" t="s">
        <v>660</v>
      </c>
      <c r="D87" s="605" t="s">
        <v>192</v>
      </c>
      <c r="E87" s="606"/>
      <c r="F87" s="75">
        <v>0</v>
      </c>
      <c r="G87" s="86"/>
      <c r="H87" s="87" t="s">
        <v>158</v>
      </c>
      <c r="I87" s="90"/>
      <c r="J87" s="91" t="s">
        <v>153</v>
      </c>
    </row>
    <row r="88" spans="1:10" ht="15" x14ac:dyDescent="0.25">
      <c r="C88" s="302" t="s">
        <v>756</v>
      </c>
      <c r="D88" s="78" t="s">
        <v>655</v>
      </c>
      <c r="F88" s="75">
        <v>4000</v>
      </c>
      <c r="G88" s="86"/>
      <c r="H88" s="84" t="s">
        <v>158</v>
      </c>
      <c r="J88" s="91" t="s">
        <v>153</v>
      </c>
    </row>
    <row r="89" spans="1:10" ht="15" x14ac:dyDescent="0.25">
      <c r="C89" s="302"/>
      <c r="F89" s="84"/>
      <c r="G89" s="84"/>
      <c r="H89" s="84"/>
      <c r="J89" s="91"/>
    </row>
    <row r="90" spans="1:10" ht="13.5" thickBot="1" x14ac:dyDescent="0.25">
      <c r="A90" s="299" t="s">
        <v>600</v>
      </c>
      <c r="B90" s="78" t="s">
        <v>371</v>
      </c>
      <c r="F90" s="81"/>
    </row>
    <row r="91" spans="1:10" s="60" customFormat="1" ht="28.5" customHeight="1" thickBot="1" x14ac:dyDescent="0.25">
      <c r="A91" s="300"/>
      <c r="B91" s="80"/>
      <c r="C91" s="80" t="s">
        <v>661</v>
      </c>
      <c r="D91" s="605" t="s">
        <v>372</v>
      </c>
      <c r="E91" s="606"/>
      <c r="F91" s="340">
        <v>7.31</v>
      </c>
      <c r="G91" s="86"/>
      <c r="H91" s="87" t="s">
        <v>69</v>
      </c>
      <c r="I91" s="90"/>
      <c r="J91" s="475" t="s">
        <v>370</v>
      </c>
    </row>
    <row r="92" spans="1:10" ht="13.5" thickBot="1" x14ac:dyDescent="0.25"/>
    <row r="93" spans="1:10" ht="15.75" thickBot="1" x14ac:dyDescent="0.3">
      <c r="A93" s="299" t="s">
        <v>601</v>
      </c>
      <c r="B93" s="78" t="s">
        <v>433</v>
      </c>
      <c r="F93" s="252">
        <f>'A.XVI. Despesas Gerais'!D49</f>
        <v>393950.28</v>
      </c>
      <c r="H93" s="84" t="s">
        <v>157</v>
      </c>
      <c r="J93" s="475" t="s">
        <v>432</v>
      </c>
    </row>
    <row r="95" spans="1:10" x14ac:dyDescent="0.2">
      <c r="A95" s="299" t="s">
        <v>602</v>
      </c>
      <c r="B95" s="78" t="s">
        <v>759</v>
      </c>
      <c r="F95" s="81"/>
    </row>
    <row r="96" spans="1:10" s="60" customFormat="1" ht="23.25" customHeight="1" x14ac:dyDescent="0.2">
      <c r="A96" s="300"/>
      <c r="B96" s="80"/>
      <c r="C96" s="302" t="s">
        <v>662</v>
      </c>
      <c r="D96" s="605" t="s">
        <v>197</v>
      </c>
      <c r="E96" s="606"/>
      <c r="F96" s="507">
        <v>0</v>
      </c>
      <c r="G96" s="86"/>
      <c r="H96" s="87" t="s">
        <v>69</v>
      </c>
      <c r="I96" s="90"/>
      <c r="J96" s="91" t="s">
        <v>153</v>
      </c>
    </row>
    <row r="97" spans="1:10" s="60" customFormat="1" ht="15" x14ac:dyDescent="0.2">
      <c r="A97" s="300"/>
      <c r="B97" s="80"/>
      <c r="C97" s="302" t="s">
        <v>663</v>
      </c>
      <c r="D97" s="605" t="s">
        <v>198</v>
      </c>
      <c r="E97" s="606"/>
      <c r="F97" s="511">
        <v>0</v>
      </c>
      <c r="G97" s="86"/>
      <c r="H97" s="87" t="s">
        <v>69</v>
      </c>
      <c r="I97" s="90"/>
      <c r="J97" s="91" t="s">
        <v>153</v>
      </c>
    </row>
    <row r="98" spans="1:10" s="60" customFormat="1" ht="24.75" customHeight="1" x14ac:dyDescent="0.2">
      <c r="A98" s="300"/>
      <c r="B98" s="80"/>
      <c r="C98" s="302" t="s">
        <v>664</v>
      </c>
      <c r="D98" s="605" t="s">
        <v>199</v>
      </c>
      <c r="E98" s="606"/>
      <c r="F98" s="511">
        <v>0</v>
      </c>
      <c r="G98" s="86"/>
      <c r="H98" s="87" t="s">
        <v>69</v>
      </c>
      <c r="I98" s="90"/>
      <c r="J98" s="91" t="s">
        <v>153</v>
      </c>
    </row>
    <row r="99" spans="1:10" s="60" customFormat="1" ht="24.75" customHeight="1" x14ac:dyDescent="0.2">
      <c r="A99" s="300"/>
      <c r="B99" s="80"/>
      <c r="C99" s="302" t="s">
        <v>665</v>
      </c>
      <c r="D99" s="605" t="s">
        <v>948</v>
      </c>
      <c r="E99" s="606"/>
      <c r="F99" s="507">
        <v>1.08</v>
      </c>
      <c r="G99" s="86"/>
      <c r="H99" s="87" t="s">
        <v>69</v>
      </c>
      <c r="I99" s="90"/>
      <c r="J99" s="91" t="s">
        <v>153</v>
      </c>
    </row>
    <row r="100" spans="1:10" s="60" customFormat="1" ht="15" x14ac:dyDescent="0.2">
      <c r="A100" s="300"/>
      <c r="B100" s="80"/>
      <c r="C100" s="302" t="s">
        <v>666</v>
      </c>
      <c r="D100" s="605" t="s">
        <v>200</v>
      </c>
      <c r="E100" s="606"/>
      <c r="F100" s="511">
        <v>1</v>
      </c>
      <c r="G100" s="86"/>
      <c r="H100" s="87" t="s">
        <v>69</v>
      </c>
      <c r="I100" s="90"/>
      <c r="J100" s="91" t="s">
        <v>153</v>
      </c>
    </row>
    <row r="101" spans="1:10" s="60" customFormat="1" ht="15" x14ac:dyDescent="0.2">
      <c r="A101" s="300"/>
      <c r="B101" s="80"/>
      <c r="C101" s="302" t="s">
        <v>667</v>
      </c>
      <c r="D101" s="605" t="s">
        <v>201</v>
      </c>
      <c r="E101" s="606"/>
      <c r="F101" s="507">
        <v>0</v>
      </c>
      <c r="G101" s="86"/>
      <c r="H101" s="87" t="s">
        <v>69</v>
      </c>
      <c r="I101" s="90"/>
      <c r="J101" s="91" t="s">
        <v>153</v>
      </c>
    </row>
    <row r="102" spans="1:10" s="60" customFormat="1" ht="23.25" customHeight="1" x14ac:dyDescent="0.2">
      <c r="A102" s="300"/>
      <c r="B102" s="80"/>
      <c r="C102" s="302" t="s">
        <v>668</v>
      </c>
      <c r="D102" s="605" t="s">
        <v>949</v>
      </c>
      <c r="E102" s="606"/>
      <c r="F102" s="511">
        <v>2.4</v>
      </c>
      <c r="G102" s="86"/>
      <c r="H102" s="87" t="s">
        <v>69</v>
      </c>
      <c r="I102" s="90"/>
      <c r="J102" s="91" t="s">
        <v>153</v>
      </c>
    </row>
    <row r="104" spans="1:10" ht="15" x14ac:dyDescent="0.2">
      <c r="A104" s="299" t="s">
        <v>602</v>
      </c>
      <c r="B104" s="78" t="s">
        <v>744</v>
      </c>
      <c r="F104" s="87"/>
    </row>
    <row r="105" spans="1:10" ht="15" x14ac:dyDescent="0.2">
      <c r="C105" s="302" t="s">
        <v>662</v>
      </c>
      <c r="D105" s="609" t="s">
        <v>745</v>
      </c>
      <c r="E105" s="611"/>
      <c r="F105" s="332"/>
      <c r="G105" s="86"/>
      <c r="H105" s="87" t="s">
        <v>158</v>
      </c>
      <c r="I105" s="90"/>
      <c r="J105" s="91" t="s">
        <v>153</v>
      </c>
    </row>
  </sheetData>
  <mergeCells count="59">
    <mergeCell ref="D99:E99"/>
    <mergeCell ref="D74:E74"/>
    <mergeCell ref="B3:J3"/>
    <mergeCell ref="D55:E55"/>
    <mergeCell ref="D101:E101"/>
    <mergeCell ref="D60:E60"/>
    <mergeCell ref="D61:E61"/>
    <mergeCell ref="D87:E87"/>
    <mergeCell ref="D76:E76"/>
    <mergeCell ref="D73:E73"/>
    <mergeCell ref="C22:C24"/>
    <mergeCell ref="D22:D24"/>
    <mergeCell ref="B8:D8"/>
    <mergeCell ref="B11:D11"/>
    <mergeCell ref="D12:E12"/>
    <mergeCell ref="D9:E9"/>
    <mergeCell ref="D105:E105"/>
    <mergeCell ref="D37:E37"/>
    <mergeCell ref="D41:E41"/>
    <mergeCell ref="D102:E102"/>
    <mergeCell ref="D91:E91"/>
    <mergeCell ref="D96:E96"/>
    <mergeCell ref="D97:E97"/>
    <mergeCell ref="D98:E98"/>
    <mergeCell ref="D51:E51"/>
    <mergeCell ref="D100:E100"/>
    <mergeCell ref="D77:E77"/>
    <mergeCell ref="D50:E50"/>
    <mergeCell ref="D56:E56"/>
    <mergeCell ref="D57:E57"/>
    <mergeCell ref="D46:E46"/>
    <mergeCell ref="D42:E42"/>
    <mergeCell ref="D48:E48"/>
    <mergeCell ref="D84:E84"/>
    <mergeCell ref="D85:E85"/>
    <mergeCell ref="D34:E34"/>
    <mergeCell ref="D35:E35"/>
    <mergeCell ref="D36:E36"/>
    <mergeCell ref="D86:E86"/>
    <mergeCell ref="D68:E68"/>
    <mergeCell ref="D71:E71"/>
    <mergeCell ref="D72:E72"/>
    <mergeCell ref="D75:E75"/>
    <mergeCell ref="L10:O10"/>
    <mergeCell ref="D83:E83"/>
    <mergeCell ref="D16:E16"/>
    <mergeCell ref="D15:E15"/>
    <mergeCell ref="D28:E28"/>
    <mergeCell ref="D31:E31"/>
    <mergeCell ref="B65:D65"/>
    <mergeCell ref="D38:E38"/>
    <mergeCell ref="D39:E39"/>
    <mergeCell ref="D40:E40"/>
    <mergeCell ref="D54:E54"/>
    <mergeCell ref="D19:D21"/>
    <mergeCell ref="C19:C21"/>
    <mergeCell ref="D43:E43"/>
    <mergeCell ref="D44:E44"/>
    <mergeCell ref="D47:E47"/>
  </mergeCells>
  <hyperlinks>
    <hyperlink ref="J12" location="'A.IV. Lub.'!A1" display="Buscar valor na aba A.IV - Lubrificantes " xr:uid="{00000000-0004-0000-0700-000000000000}"/>
    <hyperlink ref="J28" location="'A.VIII. Custos ambientais'!A1" display="Buscar valor no Anexo VIII" xr:uid="{00000000-0004-0000-0700-000001000000}"/>
    <hyperlink ref="J42" location="'A.XII. FU'!A1" display="Buscar valor no Anexo XII" xr:uid="{00000000-0004-0000-0700-000002000000}"/>
    <hyperlink ref="J51" location="'A.XIII. DMA'!A1" display="Buscar valor no Anexo XIII" xr:uid="{00000000-0004-0000-0700-000003000000}"/>
    <hyperlink ref="J73" location="'A.IX.b. Deprec. garagem equip. '!A1" display="Buscar valor no Anexo IX" xr:uid="{00000000-0004-0000-0700-000004000000}"/>
    <hyperlink ref="J91" location="'A.XV. RPS (Simplificado)'!A1" display="Buscar valor no Anexo XV" xr:uid="{00000000-0004-0000-0700-000005000000}"/>
    <hyperlink ref="J93" location="'A.XVI. Despesas Gerais'!A1" display="Buscar valor no Anexo XVI" xr:uid="{00000000-0004-0000-0700-000006000000}"/>
    <hyperlink ref="D18" location="'A.VI. Rodagem'!A1" display="Verificar Anexo VI" xr:uid="{00000000-0004-0000-0700-000007000000}"/>
  </hyperlinks>
  <pageMargins left="0.511811024" right="0.511811024" top="0.78740157499999996" bottom="0.78740157499999996" header="0.31496062000000002" footer="0.31496062000000002"/>
  <pageSetup paperSize="9" scale="28"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tabColor theme="4" tint="0.39997558519241921"/>
  </sheetPr>
  <dimension ref="A1:K40"/>
  <sheetViews>
    <sheetView workbookViewId="0">
      <selection activeCell="F4" sqref="F4"/>
    </sheetView>
  </sheetViews>
  <sheetFormatPr defaultColWidth="11.42578125" defaultRowHeight="12.75" x14ac:dyDescent="0.2"/>
  <cols>
    <col min="1" max="1" width="5.28515625" style="92" bestFit="1" customWidth="1"/>
    <col min="2" max="2" width="6.28515625" style="40" bestFit="1" customWidth="1"/>
    <col min="3" max="3" width="24.28515625" style="40" bestFit="1" customWidth="1"/>
    <col min="4" max="4" width="4.140625" style="42" customWidth="1"/>
    <col min="5" max="5" width="17.5703125" customWidth="1"/>
    <col min="6" max="6" width="14.5703125" bestFit="1" customWidth="1"/>
    <col min="7" max="7" width="11.42578125" customWidth="1"/>
    <col min="8" max="8" width="1.28515625" customWidth="1"/>
    <col min="9" max="9" width="11.42578125" customWidth="1"/>
    <col min="10" max="10" width="38.7109375" bestFit="1" customWidth="1"/>
    <col min="11" max="11" width="1" customWidth="1"/>
  </cols>
  <sheetData>
    <row r="1" spans="1:11" s="76" customFormat="1" x14ac:dyDescent="0.2">
      <c r="A1" s="76" t="s">
        <v>549</v>
      </c>
      <c r="B1" s="76" t="s">
        <v>194</v>
      </c>
      <c r="D1" s="114" t="s">
        <v>19</v>
      </c>
      <c r="E1" s="115">
        <f>SUM(E3:E8)</f>
        <v>156371.80851799998</v>
      </c>
      <c r="F1" s="178"/>
    </row>
    <row r="2" spans="1:11" ht="13.5" thickBot="1" x14ac:dyDescent="0.25"/>
    <row r="3" spans="1:11" ht="15.75" thickBot="1" x14ac:dyDescent="0.25">
      <c r="B3" s="40" t="s">
        <v>550</v>
      </c>
      <c r="C3" s="40" t="s">
        <v>76</v>
      </c>
      <c r="D3" s="93" t="s">
        <v>19</v>
      </c>
      <c r="E3" s="94">
        <f>'2.1.c Insumos'!F9*'2.1.a Combustível'!C73</f>
        <v>111535.32683999999</v>
      </c>
      <c r="F3" s="123"/>
      <c r="G3" s="123"/>
      <c r="H3" s="518" t="s">
        <v>83</v>
      </c>
      <c r="I3" s="519"/>
      <c r="J3" s="519"/>
      <c r="K3" s="520"/>
    </row>
    <row r="4" spans="1:11" ht="15" x14ac:dyDescent="0.25">
      <c r="B4" s="40" t="s">
        <v>551</v>
      </c>
      <c r="C4" s="40" t="s">
        <v>50</v>
      </c>
      <c r="D4" s="93" t="s">
        <v>19</v>
      </c>
      <c r="E4" s="94">
        <f>'2.1.c Insumos'!F9*'2.1.c Insumos'!F12*'1.4 Indicadores'!E9</f>
        <v>7037.3480029999982</v>
      </c>
      <c r="F4" s="123"/>
      <c r="G4" s="123"/>
      <c r="H4" s="33"/>
      <c r="I4" s="64"/>
      <c r="J4" s="64"/>
      <c r="K4" s="34"/>
    </row>
    <row r="5" spans="1:11" ht="15" x14ac:dyDescent="0.25">
      <c r="B5" s="40" t="s">
        <v>552</v>
      </c>
      <c r="C5" s="40" t="s">
        <v>77</v>
      </c>
      <c r="D5" s="93" t="s">
        <v>19</v>
      </c>
      <c r="E5" s="94">
        <f>'2.1.c Insumos'!F15*'2.1.c Insumos'!F16*'2.1.a Combustível'!C73</f>
        <v>0</v>
      </c>
      <c r="F5" s="123"/>
      <c r="G5" s="123"/>
      <c r="H5" s="35"/>
      <c r="I5" s="2"/>
      <c r="J5" s="44" t="s">
        <v>81</v>
      </c>
      <c r="K5" s="36"/>
    </row>
    <row r="6" spans="1:11" ht="15" x14ac:dyDescent="0.25">
      <c r="B6" s="40" t="s">
        <v>553</v>
      </c>
      <c r="C6" s="40" t="s">
        <v>78</v>
      </c>
      <c r="D6" s="93" t="s">
        <v>19</v>
      </c>
      <c r="E6" s="94">
        <f>('1.4 Indicadores'!E9/'1.4 Indicadores'!E16)*SUM('A.VI. Rodagem'!E54:F60)</f>
        <v>9010.0816749999994</v>
      </c>
      <c r="F6" s="123"/>
      <c r="G6" s="123"/>
      <c r="H6" s="35"/>
      <c r="I6" s="4"/>
      <c r="J6" s="44" t="s">
        <v>93</v>
      </c>
      <c r="K6" s="36"/>
    </row>
    <row r="7" spans="1:11" ht="15" x14ac:dyDescent="0.25">
      <c r="B7" s="40" t="s">
        <v>554</v>
      </c>
      <c r="C7" s="40" t="s">
        <v>79</v>
      </c>
      <c r="D7" s="93" t="s">
        <v>19</v>
      </c>
      <c r="E7" s="94">
        <f>((((SUM('1.3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'!F9+((((AVERAGE('2.1.b Veículos'!D9,'2.1.b Veículos'!F9)*'A.VII. Peças e acessórios '!F9)))/12)*(SUM('1.3 Frota Total'!E52:H59)+SUM('1.3 Frota Total'!E60:H60)/6)))))</f>
        <v>27815.52</v>
      </c>
      <c r="F7" s="503"/>
      <c r="G7" s="123"/>
      <c r="H7" s="35"/>
      <c r="I7" s="43"/>
      <c r="J7" s="44" t="s">
        <v>82</v>
      </c>
      <c r="K7" s="36"/>
    </row>
    <row r="8" spans="1:11" ht="15.75" thickBot="1" x14ac:dyDescent="0.3">
      <c r="B8" s="40" t="s">
        <v>555</v>
      </c>
      <c r="C8" s="40" t="s">
        <v>71</v>
      </c>
      <c r="D8" s="93" t="s">
        <v>19</v>
      </c>
      <c r="E8" s="94">
        <f>('2.1.b Veículos'!D9+'2.1.b Veículos'!F9)/2*'2.1.c Insumos'!F28</f>
        <v>973.53200000000004</v>
      </c>
      <c r="F8" s="123"/>
      <c r="G8" s="123"/>
      <c r="H8" s="37"/>
      <c r="I8" s="38"/>
      <c r="J8" s="38"/>
      <c r="K8" s="39"/>
    </row>
    <row r="12" spans="1:11" x14ac:dyDescent="0.2">
      <c r="F12" s="171"/>
    </row>
    <row r="15" spans="1:11" x14ac:dyDescent="0.2">
      <c r="J15" s="504"/>
    </row>
    <row r="18" spans="9:9" x14ac:dyDescent="0.2">
      <c r="I18" s="239"/>
    </row>
    <row r="19" spans="9:9" x14ac:dyDescent="0.2">
      <c r="I19" s="239"/>
    </row>
    <row r="20" spans="9:9" x14ac:dyDescent="0.2">
      <c r="I20" s="240"/>
    </row>
    <row r="21" spans="9:9" x14ac:dyDescent="0.2">
      <c r="I21" s="240"/>
    </row>
    <row r="40" spans="10:10" ht="15" x14ac:dyDescent="0.25">
      <c r="J40" s="6"/>
    </row>
  </sheetData>
  <mergeCells count="1">
    <mergeCell ref="H3:K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46</vt:i4>
      </vt:variant>
    </vt:vector>
  </HeadingPairs>
  <TitlesOfParts>
    <vt:vector size="46" baseType="lpstr">
      <vt:lpstr>0.Instruções</vt:lpstr>
      <vt:lpstr>1.1. Passageiros</vt:lpstr>
      <vt:lpstr>1.2. KM programada</vt:lpstr>
      <vt:lpstr>1.3 Frota Total</vt:lpstr>
      <vt:lpstr>1.4 Indicadores</vt:lpstr>
      <vt:lpstr>2.1.a Combustível</vt:lpstr>
      <vt:lpstr>2.1.b Veículos</vt:lpstr>
      <vt:lpstr>2.1.c Insumos</vt:lpstr>
      <vt:lpstr>2.1. Custo Variável</vt:lpstr>
      <vt:lpstr>2.2 Custo Fixo</vt:lpstr>
      <vt:lpstr>Planilha3</vt:lpstr>
      <vt:lpstr>Planilha4</vt:lpstr>
      <vt:lpstr>Planilha10</vt:lpstr>
      <vt:lpstr>Planilha5</vt:lpstr>
      <vt:lpstr>Planilha6</vt:lpstr>
      <vt:lpstr>Planilha7</vt:lpstr>
      <vt:lpstr>Planilha8</vt:lpstr>
      <vt:lpstr>Planilha9</vt:lpstr>
      <vt:lpstr>Planilha1</vt:lpstr>
      <vt:lpstr>Planilha2</vt:lpstr>
      <vt:lpstr>2.3 RPS</vt:lpstr>
      <vt:lpstr>4.1. Custo Pass. Transp.</vt:lpstr>
      <vt:lpstr>4.2. Tarifa Pública</vt:lpstr>
      <vt:lpstr>4. Custo Total</vt:lpstr>
      <vt:lpstr>5. Composição CT</vt:lpstr>
      <vt:lpstr>A.III. Combustível</vt:lpstr>
      <vt:lpstr>A.IV. Lub.</vt:lpstr>
      <vt:lpstr>A.V. Arla32</vt:lpstr>
      <vt:lpstr>A.VI. Rodagem</vt:lpstr>
      <vt:lpstr>A.VII. Peças e acessórios </vt:lpstr>
      <vt:lpstr>A.VIII. Custos ambientais</vt:lpstr>
      <vt:lpstr>A.IX.a. Deprec. veículos</vt:lpstr>
      <vt:lpstr>A.IX.b. Deprec. garagem equip. </vt:lpstr>
      <vt:lpstr>A.X.a. Remun. veículos </vt:lpstr>
      <vt:lpstr>A.X.b.  Remun. garagem equip.</vt:lpstr>
      <vt:lpstr>A.X.c. Remun. Eq. Bilhet. ITS</vt:lpstr>
      <vt:lpstr>A.X.d. Remun. Vec. Apoio</vt:lpstr>
      <vt:lpstr>A.X. Remun. Infra</vt:lpstr>
      <vt:lpstr>A.X.e. Remun. Infraes</vt:lpstr>
      <vt:lpstr>A.XII. FU</vt:lpstr>
      <vt:lpstr>A.XIII. DMA</vt:lpstr>
      <vt:lpstr>A.XV. RPS (Simplificado)</vt:lpstr>
      <vt:lpstr>A.XV. RPS (DetalhadoI)</vt:lpstr>
      <vt:lpstr>A.XV. RPS (DetalhadoII)</vt:lpstr>
      <vt:lpstr>A.XV. RPS (Base Num)</vt:lpstr>
      <vt:lpstr>A.XVI. Despesas Gerais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Usuario</cp:lastModifiedBy>
  <cp:lastPrinted>2021-01-05T19:12:34Z</cp:lastPrinted>
  <dcterms:created xsi:type="dcterms:W3CDTF">1997-01-10T22:22:50Z</dcterms:created>
  <dcterms:modified xsi:type="dcterms:W3CDTF">2024-03-04T18:25:36Z</dcterms:modified>
</cp:coreProperties>
</file>