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4"/>
  </bookViews>
  <sheets>
    <sheet name="0.Instruções" sheetId="1" r:id="rId1"/>
    <sheet name="1.1. Passageiros" sheetId="2" state="hidden" r:id="rId2"/>
    <sheet name="1.2. KM programada" sheetId="3" r:id="rId3"/>
    <sheet name="1.3 Frota Total" sheetId="4" r:id="rId4"/>
    <sheet name="1.4 Indicadores" sheetId="5" r:id="rId5"/>
    <sheet name="2.1.a Combustível" sheetId="6" r:id="rId6"/>
    <sheet name="2.1.b Veículos" sheetId="7" r:id="rId7"/>
    <sheet name="2.1.c Insumos" sheetId="8" r:id="rId8"/>
    <sheet name="2.1. Custo Variável" sheetId="9" r:id="rId9"/>
    <sheet name="2.2 Custo Fixo" sheetId="10" r:id="rId10"/>
    <sheet name="Planilha3" sheetId="11" state="hidden" r:id="rId11"/>
    <sheet name="Planilha4" sheetId="12" state="hidden" r:id="rId12"/>
    <sheet name="Planilha10" sheetId="13" state="hidden" r:id="rId13"/>
    <sheet name="Planilha5" sheetId="14" state="hidden" r:id="rId14"/>
    <sheet name="Planilha6" sheetId="15" state="hidden" r:id="rId15"/>
    <sheet name="Planilha7" sheetId="16" state="hidden" r:id="rId16"/>
    <sheet name="Planilha8" sheetId="17" state="hidden" r:id="rId17"/>
    <sheet name="Planilha9" sheetId="18" state="hidden" r:id="rId18"/>
    <sheet name="Planilha1" sheetId="19" state="hidden" r:id="rId19"/>
    <sheet name="Planilha2" sheetId="20" state="hidden" r:id="rId20"/>
    <sheet name="2.3 RPS" sheetId="21" r:id="rId21"/>
    <sheet name="4.1. Custo Pass. Transp." sheetId="22" state="hidden" r:id="rId22"/>
    <sheet name="4.2. Tarifa Pública" sheetId="23" state="hidden" r:id="rId23"/>
    <sheet name="4. Custo Total" sheetId="24" r:id="rId24"/>
    <sheet name="5. Composição CT" sheetId="25" r:id="rId25"/>
    <sheet name="A.III. Combustível" sheetId="26" r:id="rId26"/>
    <sheet name="A.IV. Lub." sheetId="27" r:id="rId27"/>
    <sheet name="A.V. Arla32" sheetId="28" r:id="rId28"/>
    <sheet name="A.VI. Rodagem" sheetId="29" r:id="rId29"/>
    <sheet name="A.VII. Peças e acessórios " sheetId="30" r:id="rId30"/>
    <sheet name="A.VIII. Custos ambientais" sheetId="31" r:id="rId31"/>
    <sheet name="A.IX.a. Deprec. veículos" sheetId="32" r:id="rId32"/>
    <sheet name="A.IX.b. Deprec. garagem equip. " sheetId="33" r:id="rId33"/>
    <sheet name="A.X.a. Remun. veículos " sheetId="34" r:id="rId34"/>
    <sheet name="A.X.b.  Remun. garagem equip." sheetId="35" r:id="rId35"/>
    <sheet name="A.X.c. Remun. Eq. Bilhet. ITS" sheetId="36" r:id="rId36"/>
    <sheet name="A.X.d. Remun. Vec. Apoio" sheetId="37" r:id="rId37"/>
    <sheet name="A.X. Remun. Infra" sheetId="38" r:id="rId38"/>
    <sheet name="A.X.e. Remun. Infraes" sheetId="39" r:id="rId39"/>
    <sheet name="A.XII. FU" sheetId="40" r:id="rId40"/>
    <sheet name="A.XIII. DMA" sheetId="41" r:id="rId41"/>
    <sheet name="A.XV. RPS (Simplificado)" sheetId="42" r:id="rId42"/>
    <sheet name="A.XV. RPS (DetalhadoI)" sheetId="43" r:id="rId43"/>
    <sheet name="A.XV. RPS (DetalhadoII)" sheetId="44" r:id="rId44"/>
    <sheet name="A.XV. RPS (Base Num)" sheetId="45" state="hidden" r:id="rId45"/>
    <sheet name="A.XVI. Despesas Gerais" sheetId="46" r:id="rId46"/>
  </sheets>
  <externalReferences>
    <externalReference r:id="rId49"/>
  </externalReferences>
  <definedNames>
    <definedName name="_xlfn_AGGREGATE">NA()</definedName>
    <definedName name="_xlfn_FLOOR_PRECISE">NA()</definedName>
    <definedName name="_xlfn_IFERROR">#N/A</definedName>
    <definedName name="_xlfn_SINGLE">NA()</definedName>
    <definedName name="_xlfn.IFERROR" hidden="1">#NAME?</definedName>
  </definedNames>
  <calcPr fullCalcOnLoad="1"/>
</workbook>
</file>

<file path=xl/comments8.xml><?xml version="1.0" encoding="utf-8"?>
<comments xmlns="http://schemas.openxmlformats.org/spreadsheetml/2006/main">
  <authors>
    <author> </author>
  </authors>
  <commentList>
    <comment ref="F40" authorId="0">
      <text>
        <r>
          <rPr>
            <b/>
            <sz val="9"/>
            <color indexed="8"/>
            <rFont val="Segoe UI"/>
            <family val="2"/>
          </rPr>
          <t>Com adicional de insalubridade</t>
        </r>
      </text>
    </comment>
  </commentList>
</comments>
</file>

<file path=xl/sharedStrings.xml><?xml version="1.0" encoding="utf-8"?>
<sst xmlns="http://schemas.openxmlformats.org/spreadsheetml/2006/main" count="1836" uniqueCount="953">
  <si>
    <t>0. Instruções</t>
  </si>
  <si>
    <t>1. Esta planilha eletrônica segue as definições do documento ¨Custos dos serviços de transporte público por ônibus - Método de Cálculo". ANTP (2017).</t>
  </si>
  <si>
    <t>2. As abas da planilha seguem a numeração dos capitulos desse documento.</t>
  </si>
  <si>
    <t>3. No caso dos anexos, o numeral romano que identifica o anexo é precedido da letra "A".</t>
  </si>
  <si>
    <t xml:space="preserve">4. As células em laranja </t>
  </si>
  <si>
    <t>são entradas de dados e precisam de preenchimento.</t>
  </si>
  <si>
    <t>5. As células em verde</t>
  </si>
  <si>
    <t>são entradas de dados preenchidas com valores de referência, conforme o respectivo anexo do método de cálculo.</t>
  </si>
  <si>
    <t>6. As células em azul</t>
  </si>
  <si>
    <t>são resultados e não devem ser preenchidas.</t>
  </si>
  <si>
    <t>AVISO:</t>
  </si>
  <si>
    <t>Esta planilha eletrônica foi criada como instrumento de apoio.</t>
  </si>
  <si>
    <t>A ANTP (Associação Nacional de Transportes Públicos) não assume qualquer responsabilidade pela aplicação da planilha e do método.</t>
  </si>
  <si>
    <t xml:space="preserve">O documento ¨Custos dos serviços de transporte público por ônibus - Método de Cálculo". </t>
  </si>
  <si>
    <t>Versão 1.1 ( 2021)</t>
  </si>
  <si>
    <t>1.1 Passageiros</t>
  </si>
  <si>
    <t>Legenda</t>
  </si>
  <si>
    <r>
      <rPr>
        <b/>
        <sz val="11"/>
        <rFont val="Calibri"/>
        <family val="2"/>
      </rPr>
      <t>1.1.1. Passageiros Transportados</t>
    </r>
    <r>
      <rPr>
        <b/>
        <i/>
        <sz val="11"/>
        <rFont val="Calibri"/>
        <family val="2"/>
      </rPr>
      <t xml:space="preserve"> por mês (PT)</t>
    </r>
  </si>
  <si>
    <t>Entrada de dados</t>
  </si>
  <si>
    <t>Comum</t>
  </si>
  <si>
    <t>Entrada de dados com valor de referência</t>
  </si>
  <si>
    <t>Vale-Transporte</t>
  </si>
  <si>
    <t>Resultado</t>
  </si>
  <si>
    <t>Estudante</t>
  </si>
  <si>
    <t>Gratuidade</t>
  </si>
  <si>
    <t>Outros</t>
  </si>
  <si>
    <t>Passageiros Transportados (PT)</t>
  </si>
  <si>
    <r>
      <rPr>
        <b/>
        <sz val="11"/>
        <rFont val="Calibri"/>
        <family val="2"/>
      </rPr>
      <t xml:space="preserve">1.1.2. Passageiros Equivalentes </t>
    </r>
    <r>
      <rPr>
        <b/>
        <i/>
        <sz val="11"/>
        <rFont val="Calibri"/>
        <family val="2"/>
      </rPr>
      <t>(PE)</t>
    </r>
  </si>
  <si>
    <r>
      <rPr>
        <b/>
        <sz val="11"/>
        <rFont val="Calibri"/>
        <family val="2"/>
      </rPr>
      <t>1.1.2</t>
    </r>
    <r>
      <rPr>
        <b/>
        <i/>
        <sz val="11"/>
        <rFont val="Calibri"/>
        <family val="2"/>
      </rPr>
      <t>.a Tarifa Pública Vigente (TPU)</t>
    </r>
  </si>
  <si>
    <r>
      <rPr>
        <b/>
        <sz val="11"/>
        <color indexed="9"/>
        <rFont val="Calibri"/>
        <family val="2"/>
      </rPr>
      <t>Tarifas públicas "i" vigentes (</t>
    </r>
    <r>
      <rPr>
        <b/>
        <i/>
        <sz val="11"/>
        <color indexed="9"/>
        <rFont val="Calibri"/>
        <family val="2"/>
      </rPr>
      <t>TPi</t>
    </r>
    <r>
      <rPr>
        <b/>
        <sz val="11"/>
        <color indexed="9"/>
        <rFont val="Calibri"/>
        <family val="2"/>
      </rPr>
      <t>) (em R$)</t>
    </r>
  </si>
  <si>
    <r>
      <rPr>
        <b/>
        <i/>
        <sz val="11"/>
        <color indexed="8"/>
        <rFont val="Calibri"/>
        <family val="2"/>
      </rPr>
      <t>TP</t>
    </r>
    <r>
      <rPr>
        <b/>
        <i/>
        <vertAlign val="subscript"/>
        <sz val="11"/>
        <color indexed="8"/>
        <rFont val="Calibri"/>
        <family val="2"/>
      </rPr>
      <t>1</t>
    </r>
  </si>
  <si>
    <r>
      <rPr>
        <b/>
        <i/>
        <sz val="11"/>
        <color indexed="8"/>
        <rFont val="Calibri"/>
        <family val="2"/>
      </rPr>
      <t>TP</t>
    </r>
    <r>
      <rPr>
        <b/>
        <i/>
        <vertAlign val="subscript"/>
        <sz val="11"/>
        <color indexed="8"/>
        <rFont val="Calibri"/>
        <family val="2"/>
      </rPr>
      <t>2</t>
    </r>
  </si>
  <si>
    <r>
      <rPr>
        <b/>
        <i/>
        <sz val="11"/>
        <color indexed="8"/>
        <rFont val="Calibri"/>
        <family val="2"/>
      </rPr>
      <t>TP</t>
    </r>
    <r>
      <rPr>
        <b/>
        <i/>
        <vertAlign val="subscript"/>
        <sz val="11"/>
        <color indexed="8"/>
        <rFont val="Calibri"/>
        <family val="2"/>
      </rPr>
      <t>3</t>
    </r>
  </si>
  <si>
    <r>
      <rPr>
        <b/>
        <i/>
        <sz val="11"/>
        <color indexed="8"/>
        <rFont val="Calibri"/>
        <family val="2"/>
      </rPr>
      <t>TP</t>
    </r>
    <r>
      <rPr>
        <b/>
        <i/>
        <vertAlign val="subscript"/>
        <sz val="11"/>
        <color indexed="8"/>
        <rFont val="Calibri"/>
        <family val="2"/>
      </rPr>
      <t>4</t>
    </r>
  </si>
  <si>
    <r>
      <rPr>
        <b/>
        <i/>
        <sz val="11"/>
        <color indexed="8"/>
        <rFont val="Calibri"/>
        <family val="2"/>
      </rPr>
      <t>TP</t>
    </r>
    <r>
      <rPr>
        <b/>
        <i/>
        <vertAlign val="subscript"/>
        <sz val="11"/>
        <color indexed="8"/>
        <rFont val="Calibri"/>
        <family val="2"/>
      </rPr>
      <t>5</t>
    </r>
  </si>
  <si>
    <r>
      <rPr>
        <b/>
        <i/>
        <sz val="11"/>
        <color indexed="8"/>
        <rFont val="Calibri"/>
        <family val="2"/>
      </rPr>
      <t>TP</t>
    </r>
    <r>
      <rPr>
        <b/>
        <i/>
        <vertAlign val="subscript"/>
        <sz val="11"/>
        <color indexed="8"/>
        <rFont val="Calibri"/>
        <family val="2"/>
      </rPr>
      <t>6</t>
    </r>
  </si>
  <si>
    <r>
      <rPr>
        <b/>
        <i/>
        <sz val="11"/>
        <color indexed="8"/>
        <rFont val="Calibri"/>
        <family val="2"/>
      </rPr>
      <t>TP</t>
    </r>
    <r>
      <rPr>
        <b/>
        <i/>
        <vertAlign val="subscript"/>
        <sz val="11"/>
        <color indexed="8"/>
        <rFont val="Calibri"/>
        <family val="2"/>
      </rPr>
      <t>7</t>
    </r>
  </si>
  <si>
    <r>
      <rPr>
        <b/>
        <i/>
        <sz val="11"/>
        <color indexed="8"/>
        <rFont val="Calibri"/>
        <family val="2"/>
      </rPr>
      <t>TP</t>
    </r>
    <r>
      <rPr>
        <b/>
        <i/>
        <vertAlign val="subscript"/>
        <sz val="11"/>
        <color indexed="8"/>
        <rFont val="Calibri"/>
        <family val="2"/>
      </rPr>
      <t>8</t>
    </r>
  </si>
  <si>
    <r>
      <rPr>
        <b/>
        <i/>
        <sz val="11"/>
        <color indexed="8"/>
        <rFont val="Calibri"/>
        <family val="2"/>
      </rPr>
      <t>TP</t>
    </r>
    <r>
      <rPr>
        <b/>
        <i/>
        <vertAlign val="subscript"/>
        <sz val="11"/>
        <color indexed="8"/>
        <rFont val="Calibri"/>
        <family val="2"/>
      </rPr>
      <t>9</t>
    </r>
  </si>
  <si>
    <r>
      <rPr>
        <b/>
        <i/>
        <sz val="11"/>
        <color indexed="8"/>
        <rFont val="Calibri"/>
        <family val="2"/>
      </rPr>
      <t>TP</t>
    </r>
    <r>
      <rPr>
        <b/>
        <i/>
        <vertAlign val="subscript"/>
        <sz val="11"/>
        <color indexed="8"/>
        <rFont val="Calibri"/>
        <family val="2"/>
      </rPr>
      <t>10</t>
    </r>
  </si>
  <si>
    <r>
      <rPr>
        <b/>
        <sz val="11"/>
        <rFont val="Calibri"/>
        <family val="2"/>
      </rPr>
      <t>1.1.2</t>
    </r>
    <r>
      <rPr>
        <b/>
        <i/>
        <sz val="11"/>
        <rFont val="Calibri"/>
        <family val="2"/>
      </rPr>
      <t>.b Deseja informar dados de modo (marcar X):</t>
    </r>
  </si>
  <si>
    <t>Detalhado:</t>
  </si>
  <si>
    <t>X</t>
  </si>
  <si>
    <r>
      <rPr>
        <b/>
        <i/>
        <sz val="11"/>
        <rFont val="Calibri"/>
        <family val="2"/>
      </rPr>
      <t xml:space="preserve">(ir para o item </t>
    </r>
    <r>
      <rPr>
        <b/>
        <sz val="11"/>
        <rFont val="Calibri"/>
        <family val="2"/>
      </rPr>
      <t>1.1.2</t>
    </r>
    <r>
      <rPr>
        <b/>
        <i/>
        <sz val="11"/>
        <rFont val="Calibri"/>
        <family val="2"/>
      </rPr>
      <t>.c)</t>
    </r>
  </si>
  <si>
    <t>Média mensal consolidada:</t>
  </si>
  <si>
    <r>
      <rPr>
        <b/>
        <i/>
        <sz val="11"/>
        <rFont val="Calibri"/>
        <family val="2"/>
      </rPr>
      <t xml:space="preserve">(ir para o item </t>
    </r>
    <r>
      <rPr>
        <b/>
        <sz val="11"/>
        <rFont val="Calibri"/>
        <family val="2"/>
      </rPr>
      <t>1.1.2</t>
    </r>
    <r>
      <rPr>
        <b/>
        <i/>
        <sz val="11"/>
        <rFont val="Calibri"/>
        <family val="2"/>
      </rPr>
      <t>.d)</t>
    </r>
  </si>
  <si>
    <r>
      <rPr>
        <b/>
        <sz val="11"/>
        <rFont val="Calibri"/>
        <family val="2"/>
      </rPr>
      <t>1.1.2</t>
    </r>
    <r>
      <rPr>
        <b/>
        <i/>
        <sz val="11"/>
        <rFont val="Calibri"/>
        <family val="2"/>
      </rPr>
      <t>.c. Passageiros pagantes por tarifa pública (Anexo I)</t>
    </r>
  </si>
  <si>
    <t>Passageiros Pagantes por mês [m] e Tarifa Pública [TP]i (passageiros/mês)</t>
  </si>
  <si>
    <t>Mês [m]i</t>
  </si>
  <si>
    <t>[m]1</t>
  </si>
  <si>
    <t>[m]2</t>
  </si>
  <si>
    <t>[m]3</t>
  </si>
  <si>
    <t>[m]4</t>
  </si>
  <si>
    <t>[m]5</t>
  </si>
  <si>
    <t>[m]6</t>
  </si>
  <si>
    <t>[m]7</t>
  </si>
  <si>
    <t>[m]8</t>
  </si>
  <si>
    <t>[m]9</t>
  </si>
  <si>
    <t>[m]10</t>
  </si>
  <si>
    <t>[m]11</t>
  </si>
  <si>
    <t>[m]12</t>
  </si>
  <si>
    <t>1.1.2.d. Média mensal de Passageiros pagantes por tarifa pública</t>
  </si>
  <si>
    <t>Média mensal de passageiros pagantes</t>
  </si>
  <si>
    <t>1.1.2.e.  Receita média mensal por tarifa pública (RT)</t>
  </si>
  <si>
    <t>Receita média mensal por tarifa pública (em R$)</t>
  </si>
  <si>
    <r>
      <rPr>
        <b/>
        <sz val="11"/>
        <color indexed="8"/>
        <rFont val="Calibri"/>
        <family val="2"/>
      </rPr>
      <t>TP</t>
    </r>
    <r>
      <rPr>
        <b/>
        <vertAlign val="subscript"/>
        <sz val="11"/>
        <color indexed="8"/>
        <rFont val="Calibri"/>
        <family val="2"/>
      </rPr>
      <t>1</t>
    </r>
  </si>
  <si>
    <r>
      <rPr>
        <b/>
        <sz val="11"/>
        <color indexed="8"/>
        <rFont val="Calibri"/>
        <family val="2"/>
      </rPr>
      <t>TP</t>
    </r>
    <r>
      <rPr>
        <b/>
        <vertAlign val="subscript"/>
        <sz val="11"/>
        <color indexed="8"/>
        <rFont val="Calibri"/>
        <family val="2"/>
      </rPr>
      <t>2</t>
    </r>
  </si>
  <si>
    <r>
      <rPr>
        <b/>
        <sz val="11"/>
        <color indexed="8"/>
        <rFont val="Calibri"/>
        <family val="2"/>
      </rPr>
      <t>TP</t>
    </r>
    <r>
      <rPr>
        <b/>
        <vertAlign val="subscript"/>
        <sz val="11"/>
        <color indexed="8"/>
        <rFont val="Calibri"/>
        <family val="2"/>
      </rPr>
      <t>3</t>
    </r>
  </si>
  <si>
    <r>
      <rPr>
        <b/>
        <sz val="11"/>
        <color indexed="8"/>
        <rFont val="Calibri"/>
        <family val="2"/>
      </rPr>
      <t>TP</t>
    </r>
    <r>
      <rPr>
        <b/>
        <vertAlign val="subscript"/>
        <sz val="11"/>
        <color indexed="8"/>
        <rFont val="Calibri"/>
        <family val="2"/>
      </rPr>
      <t>4</t>
    </r>
  </si>
  <si>
    <r>
      <rPr>
        <b/>
        <sz val="11"/>
        <color indexed="8"/>
        <rFont val="Calibri"/>
        <family val="2"/>
      </rPr>
      <t>TP</t>
    </r>
    <r>
      <rPr>
        <b/>
        <vertAlign val="subscript"/>
        <sz val="11"/>
        <color indexed="8"/>
        <rFont val="Calibri"/>
        <family val="2"/>
      </rPr>
      <t>5</t>
    </r>
  </si>
  <si>
    <r>
      <rPr>
        <b/>
        <sz val="11"/>
        <color indexed="8"/>
        <rFont val="Calibri"/>
        <family val="2"/>
      </rPr>
      <t>TP</t>
    </r>
    <r>
      <rPr>
        <b/>
        <vertAlign val="subscript"/>
        <sz val="11"/>
        <color indexed="8"/>
        <rFont val="Calibri"/>
        <family val="2"/>
      </rPr>
      <t>6</t>
    </r>
  </si>
  <si>
    <r>
      <rPr>
        <b/>
        <sz val="11"/>
        <color indexed="8"/>
        <rFont val="Calibri"/>
        <family val="2"/>
      </rPr>
      <t>TP</t>
    </r>
    <r>
      <rPr>
        <b/>
        <vertAlign val="subscript"/>
        <sz val="11"/>
        <color indexed="8"/>
        <rFont val="Calibri"/>
        <family val="2"/>
      </rPr>
      <t>7</t>
    </r>
  </si>
  <si>
    <r>
      <rPr>
        <b/>
        <sz val="11"/>
        <color indexed="8"/>
        <rFont val="Calibri"/>
        <family val="2"/>
      </rPr>
      <t>TP</t>
    </r>
    <r>
      <rPr>
        <b/>
        <vertAlign val="subscript"/>
        <sz val="11"/>
        <color indexed="8"/>
        <rFont val="Calibri"/>
        <family val="2"/>
      </rPr>
      <t>8</t>
    </r>
  </si>
  <si>
    <r>
      <rPr>
        <b/>
        <sz val="11"/>
        <color indexed="8"/>
        <rFont val="Calibri"/>
        <family val="2"/>
      </rPr>
      <t>TP</t>
    </r>
    <r>
      <rPr>
        <b/>
        <vertAlign val="subscript"/>
        <sz val="11"/>
        <color indexed="8"/>
        <rFont val="Calibri"/>
        <family val="2"/>
      </rPr>
      <t>9</t>
    </r>
  </si>
  <si>
    <r>
      <rPr>
        <b/>
        <sz val="11"/>
        <color indexed="8"/>
        <rFont val="Calibri"/>
        <family val="2"/>
      </rPr>
      <t>TP</t>
    </r>
    <r>
      <rPr>
        <b/>
        <vertAlign val="subscript"/>
        <sz val="11"/>
        <color indexed="8"/>
        <rFont val="Calibri"/>
        <family val="2"/>
      </rPr>
      <t>10</t>
    </r>
  </si>
  <si>
    <r>
      <rPr>
        <b/>
        <i/>
        <sz val="11"/>
        <rFont val="Calibri"/>
        <family val="2"/>
      </rPr>
      <t xml:space="preserve">1.1.2.f.  Receita Integrada (RI) </t>
    </r>
    <r>
      <rPr>
        <b/>
        <sz val="11"/>
        <rFont val="Calibri"/>
        <family val="2"/>
      </rPr>
      <t>refere-se aos recursos ($) especificamente arrecadados nas viagens com integração. Essa informação é usada apenas na análise de risco (aba A.XV. Detalhado)</t>
    </r>
  </si>
  <si>
    <t>Receita da Integração</t>
  </si>
  <si>
    <t>1.2 Quilometragem Programada (KP)</t>
  </si>
  <si>
    <r>
      <rPr>
        <b/>
        <sz val="10"/>
        <rFont val="Calibri"/>
        <family val="2"/>
      </rPr>
      <t>1.2</t>
    </r>
    <r>
      <rPr>
        <b/>
        <i/>
        <sz val="10"/>
        <rFont val="Calibri"/>
        <family val="2"/>
      </rPr>
      <t>.a.</t>
    </r>
  </si>
  <si>
    <t>Periodo de análise M (em meses):</t>
  </si>
  <si>
    <r>
      <rPr>
        <b/>
        <sz val="10"/>
        <rFont val="Calibri"/>
        <family val="2"/>
      </rPr>
      <t>1.2</t>
    </r>
    <r>
      <rPr>
        <b/>
        <i/>
        <sz val="10"/>
        <rFont val="Calibri"/>
        <family val="2"/>
      </rPr>
      <t>.b.</t>
    </r>
  </si>
  <si>
    <t>Deseja informar dados de modo (marcar X):</t>
  </si>
  <si>
    <t>Consolidado mensal:</t>
  </si>
  <si>
    <t>x</t>
  </si>
  <si>
    <r>
      <rPr>
        <b/>
        <i/>
        <sz val="10"/>
        <rFont val="Calibri"/>
        <family val="2"/>
      </rPr>
      <t xml:space="preserve">(ir para o item </t>
    </r>
    <r>
      <rPr>
        <b/>
        <sz val="10"/>
        <rFont val="Calibri"/>
        <family val="2"/>
      </rPr>
      <t>1.2</t>
    </r>
    <r>
      <rPr>
        <b/>
        <i/>
        <sz val="10"/>
        <rFont val="Calibri"/>
        <family val="2"/>
      </rPr>
      <t>.c)</t>
    </r>
  </si>
  <si>
    <r>
      <rPr>
        <b/>
        <i/>
        <sz val="10"/>
        <rFont val="Calibri"/>
        <family val="2"/>
      </rPr>
      <t xml:space="preserve">(ir para o item </t>
    </r>
    <r>
      <rPr>
        <b/>
        <sz val="10"/>
        <rFont val="Calibri"/>
        <family val="2"/>
      </rPr>
      <t>1.2</t>
    </r>
    <r>
      <rPr>
        <b/>
        <i/>
        <sz val="10"/>
        <rFont val="Calibri"/>
        <family val="2"/>
      </rPr>
      <t>.d)</t>
    </r>
  </si>
  <si>
    <r>
      <rPr>
        <b/>
        <sz val="10"/>
        <rFont val="Calibri"/>
        <family val="2"/>
      </rPr>
      <t>1.2</t>
    </r>
    <r>
      <rPr>
        <b/>
        <i/>
        <sz val="10"/>
        <rFont val="Calibri"/>
        <family val="2"/>
      </rPr>
      <t>.c.</t>
    </r>
  </si>
  <si>
    <t>Quilometragem programada média mensal do sistema (consolidada):</t>
  </si>
  <si>
    <t>Extensão programada:</t>
  </si>
  <si>
    <t>km</t>
  </si>
  <si>
    <r>
      <rPr>
        <b/>
        <sz val="10"/>
        <rFont val="Calibri"/>
        <family val="2"/>
      </rPr>
      <t>1.2</t>
    </r>
    <r>
      <rPr>
        <b/>
        <i/>
        <sz val="10"/>
        <rFont val="Calibri"/>
        <family val="2"/>
      </rPr>
      <t>.d.</t>
    </r>
  </si>
  <si>
    <t>Quilometragem programanda por linha (detalhada)[Anexo II]:</t>
  </si>
  <si>
    <t>ID</t>
  </si>
  <si>
    <t>Linha (nº)</t>
  </si>
  <si>
    <t>Quant. de dias de operação no período de análise M (QD[K])</t>
  </si>
  <si>
    <r>
      <rPr>
        <b/>
        <sz val="10"/>
        <color indexed="9"/>
        <rFont val="Calibri"/>
        <family val="2"/>
      </rP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</si>
  <si>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rPr>
        <b/>
        <sz val="10"/>
        <color indexed="9"/>
        <rFont val="Calibri"/>
        <family val="2"/>
      </rP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</si>
  <si>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Quilometragem programada mensal</t>
  </si>
  <si>
    <t>Unidade: dias</t>
  </si>
  <si>
    <t>Unidade: viagens</t>
  </si>
  <si>
    <t>Unidade: km</t>
  </si>
  <si>
    <t>Dias úteis</t>
  </si>
  <si>
    <t>Sábados</t>
  </si>
  <si>
    <t>Domingos / Feriados</t>
  </si>
  <si>
    <t>Total</t>
  </si>
  <si>
    <t>Jardim Vitória/Mafra/Asa Branca</t>
  </si>
  <si>
    <t>Jardim Uni/Cassidori/Beatriz Guim.</t>
  </si>
  <si>
    <t>Bela Vista/  Pedro Moreira</t>
  </si>
  <si>
    <t>Reboque Bela Vista</t>
  </si>
  <si>
    <t>Zona 4</t>
  </si>
  <si>
    <t>Zona 2</t>
  </si>
  <si>
    <t>Jard. Atlântico/Pq das Nações/Belas Artes</t>
  </si>
  <si>
    <t>Vila Operária</t>
  </si>
  <si>
    <t>Vila Sete</t>
  </si>
  <si>
    <t>Vidigal</t>
  </si>
  <si>
    <t>Facec</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</si>
  <si>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</si>
  <si>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</si>
  <si>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</si>
  <si>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</si>
  <si>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</si>
  <si>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</si>
  <si>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Microônibus</t>
  </si>
  <si>
    <t>Entre 10 e 20 passageiros (exclusivamente sentados)</t>
  </si>
  <si>
    <t>5t</t>
  </si>
  <si>
    <t>7,4m</t>
  </si>
  <si>
    <t>Miniônibus</t>
  </si>
  <si>
    <t>Mínimo de 30 passageiros (sentados e em pé)</t>
  </si>
  <si>
    <t>8t</t>
  </si>
  <si>
    <t>9,6m</t>
  </si>
  <si>
    <t>Midiônibus</t>
  </si>
  <si>
    <t>Mínimo de 40 passageiros  (sentados e em pé)</t>
  </si>
  <si>
    <t>10t</t>
  </si>
  <si>
    <t>11,5m</t>
  </si>
  <si>
    <t>Ônibus básico</t>
  </si>
  <si>
    <t>Mínimo de 70 passageiros  (sentados e em pé)</t>
  </si>
  <si>
    <t>16t</t>
  </si>
  <si>
    <t>14m</t>
  </si>
  <si>
    <t>Ônibus padron</t>
  </si>
  <si>
    <t>Mínimo de 80 passageiros  (sentados e em pé)</t>
  </si>
  <si>
    <t>Ônibus articulado</t>
  </si>
  <si>
    <t>Mínimo de 100 passageiros  (sentados e em pé)</t>
  </si>
  <si>
    <t>26t</t>
  </si>
  <si>
    <t>18,6m</t>
  </si>
  <si>
    <t>Ônibus biarticulado</t>
  </si>
  <si>
    <t>Mínimo de 160 passageiros  (sentados e em pé)</t>
  </si>
  <si>
    <t>36t</t>
  </si>
  <si>
    <t>30m</t>
  </si>
  <si>
    <t xml:space="preserve">1.3.2. Cálculo da Frota </t>
  </si>
  <si>
    <r>
      <rPr>
        <b/>
        <sz val="11"/>
        <rFont val="Calibri"/>
        <family val="2"/>
      </rPr>
      <t>1.3.2.</t>
    </r>
    <r>
      <rPr>
        <b/>
        <i/>
        <sz val="11"/>
        <rFont val="Calibri"/>
        <family val="2"/>
      </rPr>
      <t>a</t>
    </r>
    <r>
      <rPr>
        <b/>
        <sz val="11"/>
        <rFont val="Calibri"/>
        <family val="2"/>
      </rPr>
      <t xml:space="preserve"> Composição da frota (tipologia do veículo)</t>
    </r>
  </si>
  <si>
    <t>Classe do veículo</t>
  </si>
  <si>
    <t>Sem ar condicionado</t>
  </si>
  <si>
    <t>Com ar condicionado</t>
  </si>
  <si>
    <t>Sem transmissão automática</t>
  </si>
  <si>
    <t>Com transmissão automática</t>
  </si>
  <si>
    <t>Novo</t>
  </si>
  <si>
    <t>Semi Novo</t>
  </si>
  <si>
    <t>1.3.2.b Composição da frota (classe e idade do veículo)</t>
  </si>
  <si>
    <t>Idade do veículo</t>
  </si>
  <si>
    <t xml:space="preserve">Microônibus </t>
  </si>
  <si>
    <t>8+</t>
  </si>
  <si>
    <r>
      <rPr>
        <b/>
        <sz val="11"/>
        <rFont val="Calibri"/>
        <family val="2"/>
      </rPr>
      <t>1.3.2.</t>
    </r>
    <r>
      <rPr>
        <b/>
        <i/>
        <sz val="11"/>
        <rFont val="Calibri"/>
        <family val="2"/>
      </rPr>
      <t>c</t>
    </r>
    <r>
      <rPr>
        <b/>
        <sz val="11"/>
        <rFont val="Calibri"/>
        <family val="2"/>
      </rPr>
      <t xml:space="preserve"> Composição da frota (veículos de apoio)</t>
    </r>
  </si>
  <si>
    <t>Classificação do veículo</t>
  </si>
  <si>
    <t>Frota</t>
  </si>
  <si>
    <t>Caminhão-oficina</t>
  </si>
  <si>
    <t>Caminhão-guincho</t>
  </si>
  <si>
    <t>Caminhoneta</t>
  </si>
  <si>
    <t>Automóvel (básico)</t>
  </si>
  <si>
    <t>Motocicleta</t>
  </si>
  <si>
    <t>1.4 Indicadores</t>
  </si>
  <si>
    <t>1.4.1. Índice de Passageiros por Quilômetro (IPK)</t>
  </si>
  <si>
    <t>1.4.1.1</t>
  </si>
  <si>
    <t>Tarifa pública de preponderante vigente (TPU)</t>
  </si>
  <si>
    <t>R$</t>
  </si>
  <si>
    <t>1.4.1.2</t>
  </si>
  <si>
    <t>Receita média mensal total do sistema (RT)</t>
  </si>
  <si>
    <t>R$/mês</t>
  </si>
  <si>
    <t>1.4.1.3</t>
  </si>
  <si>
    <t>Média mensal de passageiros transportados (PT)</t>
  </si>
  <si>
    <t>passageiros/mês</t>
  </si>
  <si>
    <t>1.4.1.4</t>
  </si>
  <si>
    <t>Média mensal de passageiros pagantes equivalentes (PE)</t>
  </si>
  <si>
    <t>1.4.1.5</t>
  </si>
  <si>
    <t>Média mensal da quilometragem programada (KP)</t>
  </si>
  <si>
    <t>km/mês</t>
  </si>
  <si>
    <t>1.4.1.6</t>
  </si>
  <si>
    <t>Índice de passageiro por quilômetro (IPK)</t>
  </si>
  <si>
    <t>pass./km</t>
  </si>
  <si>
    <t>1.4.1.7</t>
  </si>
  <si>
    <t>Índice de passageiro equivalentes por quilômetro (IPKe)</t>
  </si>
  <si>
    <t>1.4.2. Percurso Médio Mensal (PMM)</t>
  </si>
  <si>
    <t>1.4.2.1</t>
  </si>
  <si>
    <t>Frota total=</t>
  </si>
  <si>
    <t>ônibus</t>
  </si>
  <si>
    <t>1.4.2.2</t>
  </si>
  <si>
    <t>Frota operante =</t>
  </si>
  <si>
    <t>x FT</t>
  </si>
  <si>
    <t>1.4.2.3</t>
  </si>
  <si>
    <t>Frota funcional =</t>
  </si>
  <si>
    <t>1.4.2.4</t>
  </si>
  <si>
    <t>Percurso Médio Mensal</t>
  </si>
  <si>
    <t>km/veículo</t>
  </si>
  <si>
    <t>1.4.3. Passageiros Transportados por Veículos por Dia (PVD)</t>
  </si>
  <si>
    <t>1.4.3.1</t>
  </si>
  <si>
    <t>Periodo de análise N (em dias)</t>
  </si>
  <si>
    <t>dias</t>
  </si>
  <si>
    <t>1.4.3.2</t>
  </si>
  <si>
    <t>Passageiros transportados por dia</t>
  </si>
  <si>
    <t>Pass/veículo/dia</t>
  </si>
  <si>
    <t>1.4.4. Passageiros Equivalentes por Veículos (PMV)</t>
  </si>
  <si>
    <t>1.4.4.1</t>
  </si>
  <si>
    <t>Passageiros equivalentes por veículo</t>
  </si>
  <si>
    <t>pass/veículo/mês</t>
  </si>
  <si>
    <t>2.1.a Consumo de Combustível</t>
  </si>
  <si>
    <t>Consultar a aba A.III.Combustível</t>
  </si>
  <si>
    <t>2.1.a.i</t>
  </si>
  <si>
    <t>Consolidado:</t>
  </si>
  <si>
    <r>
      <rPr>
        <b/>
        <i/>
        <sz val="10"/>
        <rFont val="Calibri"/>
        <family val="2"/>
      </rPr>
      <t xml:space="preserve">(ir para o item </t>
    </r>
    <r>
      <rPr>
        <b/>
        <sz val="10"/>
        <rFont val="Calibri"/>
        <family val="2"/>
      </rPr>
      <t>2.1.a.ii</t>
    </r>
    <r>
      <rPr>
        <b/>
        <i/>
        <sz val="10"/>
        <rFont val="Calibri"/>
        <family val="2"/>
      </rPr>
      <t>)</t>
    </r>
  </si>
  <si>
    <t>(ir para o item 2.1.a.iii)</t>
  </si>
  <si>
    <t>2.1.a.ii Consumo σz (l/km) para cada tipo de veículo (consolidado)</t>
  </si>
  <si>
    <t>2.1.a.iii  Quantidade de combustível utilizada por tipo de veículo (detalhado)</t>
  </si>
  <si>
    <t>2.1.a.iv  Quantidade de quilometros percorridos por tipo de veículo (detalhado)</t>
  </si>
  <si>
    <t>2.1.a.v  Consumo σz (l/km) para cada tipo de veículo (detalhado)</t>
  </si>
  <si>
    <t>2.1.a.vi</t>
  </si>
  <si>
    <r>
      <rPr>
        <b/>
        <i/>
        <sz val="11"/>
        <rFont val="Calibri"/>
        <family val="2"/>
      </rPr>
      <t>KPz:</t>
    </r>
    <r>
      <rPr>
        <b/>
        <sz val="11"/>
        <rFont val="Calibri"/>
        <family val="2"/>
      </rPr>
      <t xml:space="preserve"> média mensal da quilometragem programada para cada tipo de veículo</t>
    </r>
  </si>
  <si>
    <t xml:space="preserve">Verificar seção 1.2 do Capítulo 1 </t>
  </si>
  <si>
    <t>2.1.a.vii  Consumo total para cada tipo de veículo</t>
  </si>
  <si>
    <t>Consumo total / mês</t>
  </si>
  <si>
    <t>litros</t>
  </si>
  <si>
    <t>2.1.b Cálculo do Valor do Veículo Básico (VEC[básico])</t>
  </si>
  <si>
    <t>2.1.b.i</t>
  </si>
  <si>
    <r>
      <rPr>
        <b/>
        <i/>
        <sz val="11"/>
        <rFont val="Calibri"/>
        <family val="2"/>
      </rPr>
      <t>Valor do veículo novo por classe de veículo (VEC</t>
    </r>
    <r>
      <rPr>
        <b/>
        <i/>
        <sz val="8"/>
        <rFont val="Calibri"/>
        <family val="2"/>
      </rPr>
      <t>z</t>
    </r>
    <r>
      <rPr>
        <b/>
        <i/>
        <sz val="11"/>
        <rFont val="Calibri"/>
        <family val="2"/>
      </rPr>
      <t>)</t>
    </r>
  </si>
  <si>
    <t>2.1.b.ii</t>
  </si>
  <si>
    <t>Valor do investimento (veículos de apoio )</t>
  </si>
  <si>
    <t>Valor do veículo</t>
  </si>
  <si>
    <t>2.1.b.iii</t>
  </si>
  <si>
    <t>Nominador para ponderação do VEC</t>
  </si>
  <si>
    <t>2.1.b.iv</t>
  </si>
  <si>
    <t>Denominador para ponderação do VEC</t>
  </si>
  <si>
    <t>2.1.b.v</t>
  </si>
  <si>
    <t>Valor do veículo novo por classe de veículo sem rodagem (VECz[Ø])</t>
  </si>
  <si>
    <t>VEC</t>
  </si>
  <si>
    <r>
      <rPr>
        <b/>
        <sz val="16"/>
        <color indexed="9"/>
        <rFont val="Calibri"/>
        <family val="2"/>
      </rPr>
      <t>VEC</t>
    </r>
    <r>
      <rPr>
        <b/>
        <sz val="11"/>
        <color indexed="9"/>
        <rFont val="Calibri"/>
        <family val="2"/>
      </rPr>
      <t>[básico]</t>
    </r>
  </si>
  <si>
    <r>
      <rPr>
        <i/>
        <sz val="10"/>
        <color indexed="10"/>
        <rFont val="Arial"/>
        <family val="2"/>
      </rP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</si>
  <si>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² Os valores de referência para os insumos abaixo estão descritos no Capítulo 3 da publicação "Cálculo dos Custos dos Serviços de Transporte Coletivo Urbano por Ônibus"</t>
  </si>
  <si>
    <t>Instrução de preenchimento</t>
  </si>
  <si>
    <t>3.1.</t>
  </si>
  <si>
    <t>Óleo diesel (OLD)</t>
  </si>
  <si>
    <t>3.1.1</t>
  </si>
  <si>
    <t>Preço do óleo diesel .....................................................</t>
  </si>
  <si>
    <t>R$/litro</t>
  </si>
  <si>
    <t>Pesquisa de mercado</t>
  </si>
  <si>
    <t>3.2.</t>
  </si>
  <si>
    <t>Lubrificantes (CLB)</t>
  </si>
  <si>
    <t>3.2.1</t>
  </si>
  <si>
    <t>Coeficiente de correlação do consumo de lubrificante relacionado ao consumo de óleo diesel ..........................</t>
  </si>
  <si>
    <t>litro/km</t>
  </si>
  <si>
    <t xml:space="preserve">Buscar valor na aba A.IV - Lubrificantes </t>
  </si>
  <si>
    <t>3.3.</t>
  </si>
  <si>
    <t>ARLA 32 (ARL)</t>
  </si>
  <si>
    <t>3.3.1</t>
  </si>
  <si>
    <t>Preço do Arla 32 ..........................................................</t>
  </si>
  <si>
    <t>3.3.2</t>
  </si>
  <si>
    <t>Coeficiente de correlação do consumo do ARLA 32 relacionado ao preço do óleo diesel ...............................</t>
  </si>
  <si>
    <t>adimensional</t>
  </si>
  <si>
    <t>Buscar valor no Anexo V</t>
  </si>
  <si>
    <t>3.4.</t>
  </si>
  <si>
    <t>Rodagem (ROD)</t>
  </si>
  <si>
    <t>Verificar Anexo VI</t>
  </si>
  <si>
    <t>3.4.1</t>
  </si>
  <si>
    <t>Preço do pneu novo</t>
  </si>
  <si>
    <t>215/75 R17,6 ..............................</t>
  </si>
  <si>
    <t>R$/unidade</t>
  </si>
  <si>
    <t>275/80 R22,6 ..............................</t>
  </si>
  <si>
    <t>295/80 R22,6 ..............................</t>
  </si>
  <si>
    <t>3.4.2</t>
  </si>
  <si>
    <t>Preço da recapagem</t>
  </si>
  <si>
    <t>3.5</t>
  </si>
  <si>
    <t>Custos Ambientais (CAB)</t>
  </si>
  <si>
    <t>3.5.1</t>
  </si>
  <si>
    <t>Fator de correlação entre os custos ambientais e o preço médio do ônibus básico novo ...............................</t>
  </si>
  <si>
    <t>Buscar valor no Anexo VIII</t>
  </si>
  <si>
    <t>3.6</t>
  </si>
  <si>
    <t>Veículo (VEC)</t>
  </si>
  <si>
    <t>3.6.1</t>
  </si>
  <si>
    <t>Preço médio ônibus básico novo .........................</t>
  </si>
  <si>
    <t>R$/veículo</t>
  </si>
  <si>
    <t>Buscar valor na aba 4.7.1.VEC</t>
  </si>
  <si>
    <t>3.7</t>
  </si>
  <si>
    <t>Salários e benefícios (SAB)</t>
  </si>
  <si>
    <t>3.7.1</t>
  </si>
  <si>
    <r>
      <rPr>
        <i/>
        <sz val="10"/>
        <rFont val="Arial"/>
        <family val="2"/>
      </rPr>
      <t>Salário do Motorista (SAL</t>
    </r>
    <r>
      <rPr>
        <i/>
        <sz val="8"/>
        <rFont val="Arial"/>
        <family val="2"/>
      </rPr>
      <t>mot</t>
    </r>
    <r>
      <rPr>
        <i/>
        <sz val="10"/>
        <rFont val="Arial"/>
        <family val="2"/>
      </rPr>
      <t>) .......................................</t>
    </r>
  </si>
  <si>
    <t>Valor praticado</t>
  </si>
  <si>
    <t>3.7.2</t>
  </si>
  <si>
    <r>
      <rPr>
        <i/>
        <sz val="10"/>
        <rFont val="Arial"/>
        <family val="2"/>
      </rPr>
      <t>Salário do Cobrador (SAL</t>
    </r>
    <r>
      <rPr>
        <i/>
        <sz val="8"/>
        <rFont val="Arial"/>
        <family val="2"/>
      </rPr>
      <t>cob</t>
    </r>
    <r>
      <rPr>
        <i/>
        <sz val="10"/>
        <rFont val="Arial"/>
        <family val="2"/>
      </rPr>
      <t>) .......................................</t>
    </r>
  </si>
  <si>
    <t>3.7.3</t>
  </si>
  <si>
    <r>
      <rPr>
        <i/>
        <sz val="10"/>
        <rFont val="Arial"/>
        <family val="2"/>
      </rPr>
      <t>Salário do Mecânico (SAL</t>
    </r>
    <r>
      <rPr>
        <i/>
        <sz val="8"/>
        <rFont val="Arial"/>
        <family val="2"/>
      </rPr>
      <t>des</t>
    </r>
    <r>
      <rPr>
        <i/>
        <sz val="10"/>
        <rFont val="Arial"/>
        <family val="2"/>
      </rPr>
      <t>) .................................</t>
    </r>
  </si>
  <si>
    <t>3.7.4</t>
  </si>
  <si>
    <t>Salário do Encarregado (SAL enc) .................................</t>
  </si>
  <si>
    <t>3.7.5</t>
  </si>
  <si>
    <r>
      <rPr>
        <i/>
        <sz val="10"/>
        <rFont val="Arial"/>
        <family val="2"/>
      </rPr>
      <t>Benefícios do Motorista (BEN</t>
    </r>
    <r>
      <rPr>
        <i/>
        <sz val="8"/>
        <rFont val="Arial"/>
        <family val="2"/>
      </rPr>
      <t>mot</t>
    </r>
    <r>
      <rPr>
        <i/>
        <sz val="10"/>
        <rFont val="Arial"/>
        <family val="2"/>
      </rPr>
      <t>) .................................</t>
    </r>
  </si>
  <si>
    <t>3.7.6</t>
  </si>
  <si>
    <r>
      <rPr>
        <i/>
        <sz val="10"/>
        <rFont val="Arial"/>
        <family val="2"/>
      </rPr>
      <t>Benefícios do Cobrador (BEN</t>
    </r>
    <r>
      <rPr>
        <i/>
        <sz val="8"/>
        <rFont val="Arial"/>
        <family val="2"/>
      </rPr>
      <t>cob</t>
    </r>
    <r>
      <rPr>
        <i/>
        <sz val="10"/>
        <rFont val="Arial"/>
        <family val="2"/>
      </rPr>
      <t>) .................................</t>
    </r>
  </si>
  <si>
    <t>3.7.7</t>
  </si>
  <si>
    <r>
      <rPr>
        <i/>
        <sz val="10"/>
        <rFont val="Arial"/>
        <family val="2"/>
      </rPr>
      <t>Benefícios do Mecânico (BEN</t>
    </r>
    <r>
      <rPr>
        <i/>
        <sz val="8"/>
        <rFont val="Arial"/>
        <family val="2"/>
      </rPr>
      <t>des</t>
    </r>
    <r>
      <rPr>
        <i/>
        <sz val="10"/>
        <rFont val="Arial"/>
        <family val="2"/>
      </rPr>
      <t>) ...........................</t>
    </r>
  </si>
  <si>
    <t>3.7.8</t>
  </si>
  <si>
    <t>Benefícios do Encarregado (BEN enc) ...........................</t>
  </si>
  <si>
    <t>3.7.9</t>
  </si>
  <si>
    <r>
      <rPr>
        <i/>
        <sz val="10"/>
        <rFont val="Arial"/>
        <family val="2"/>
      </rPr>
      <t>Fator de utilização dos Motoristas (FUT</t>
    </r>
    <r>
      <rPr>
        <i/>
        <sz val="8"/>
        <rFont val="Arial"/>
        <family val="2"/>
      </rPr>
      <t>mot</t>
    </r>
    <r>
      <rPr>
        <i/>
        <sz val="10"/>
        <rFont val="Arial"/>
        <family val="2"/>
      </rPr>
      <t>) ..................</t>
    </r>
  </si>
  <si>
    <t>Buscar valor no Anexo XII</t>
  </si>
  <si>
    <t>3.7.10</t>
  </si>
  <si>
    <r>
      <rPr>
        <i/>
        <sz val="10"/>
        <rFont val="Arial"/>
        <family val="2"/>
      </rPr>
      <t>Fator de utilização dos Cobradores (FUT</t>
    </r>
    <r>
      <rPr>
        <i/>
        <sz val="8"/>
        <rFont val="Arial"/>
        <family val="2"/>
      </rPr>
      <t>cob</t>
    </r>
    <r>
      <rPr>
        <i/>
        <sz val="10"/>
        <rFont val="Arial"/>
        <family val="2"/>
      </rPr>
      <t>) ................</t>
    </r>
  </si>
  <si>
    <t>3.7.11</t>
  </si>
  <si>
    <r>
      <rPr>
        <i/>
        <sz val="10"/>
        <rFont val="Arial"/>
        <family val="2"/>
      </rPr>
      <t>Fator de utilização dos Mecânico (FUT</t>
    </r>
    <r>
      <rPr>
        <i/>
        <sz val="8"/>
        <rFont val="Arial"/>
        <family val="2"/>
      </rPr>
      <t>des</t>
    </r>
    <r>
      <rPr>
        <i/>
        <sz val="10"/>
        <rFont val="Arial"/>
        <family val="2"/>
      </rPr>
      <t>) .............</t>
    </r>
  </si>
  <si>
    <t>3.7.12</t>
  </si>
  <si>
    <t>Fator de utilização dos Encarregado (FUT enc).......................</t>
  </si>
  <si>
    <t>3.7.13</t>
  </si>
  <si>
    <r>
      <rPr>
        <i/>
        <sz val="10"/>
        <rFont val="Arial"/>
        <family val="2"/>
      </rPr>
      <t>Fator de utilização físico dos Motoristas (FUF</t>
    </r>
    <r>
      <rPr>
        <i/>
        <sz val="8"/>
        <rFont val="Arial"/>
        <family val="2"/>
      </rPr>
      <t>mot</t>
    </r>
    <r>
      <rPr>
        <i/>
        <sz val="10"/>
        <rFont val="Arial"/>
        <family val="2"/>
      </rPr>
      <t>) ..........</t>
    </r>
  </si>
  <si>
    <t>3.7.14</t>
  </si>
  <si>
    <r>
      <rPr>
        <i/>
        <sz val="10"/>
        <rFont val="Arial"/>
        <family val="2"/>
      </rPr>
      <t>Fator de utilização físico dos Cobradores (FUF</t>
    </r>
    <r>
      <rPr>
        <i/>
        <sz val="8"/>
        <rFont val="Arial"/>
        <family val="2"/>
      </rPr>
      <t>cob</t>
    </r>
    <r>
      <rPr>
        <i/>
        <sz val="10"/>
        <rFont val="Arial"/>
        <family val="2"/>
      </rPr>
      <t>) ........</t>
    </r>
  </si>
  <si>
    <t>3.7.15</t>
  </si>
  <si>
    <r>
      <rPr>
        <i/>
        <sz val="10"/>
        <rFont val="Arial"/>
        <family val="2"/>
      </rPr>
      <t>Fator de utilização físico dos Mecânico (FUF</t>
    </r>
    <r>
      <rPr>
        <i/>
        <sz val="8"/>
        <rFont val="Arial"/>
        <family val="2"/>
      </rPr>
      <t>des</t>
    </r>
    <r>
      <rPr>
        <i/>
        <sz val="10"/>
        <rFont val="Arial"/>
        <family val="2"/>
      </rPr>
      <t>) ....</t>
    </r>
  </si>
  <si>
    <t>3.7.16</t>
  </si>
  <si>
    <t>Fator de utilização físico dos Encarregados (FUF enc)...............</t>
  </si>
  <si>
    <t>3.7.17</t>
  </si>
  <si>
    <t>Encargo Social (ECS) ...................................................</t>
  </si>
  <si>
    <t>%</t>
  </si>
  <si>
    <t>3.7.18</t>
  </si>
  <si>
    <t>Despesas  pessoal de manutenção, administrativo e diretoria em relação ao pessoal operacional (Θ) ..............</t>
  </si>
  <si>
    <t>Buscar valor no Anexo XIII</t>
  </si>
  <si>
    <t>3.8</t>
  </si>
  <si>
    <t>Taxas e Seguros</t>
  </si>
  <si>
    <t>3.8.1</t>
  </si>
  <si>
    <t>Seguro obrigatório por veículo (VAS ) .............................</t>
  </si>
  <si>
    <t>R$/ano</t>
  </si>
  <si>
    <t>3.8.2</t>
  </si>
  <si>
    <t>Taxa de licenciamento por veículo (VAT) ........................</t>
  </si>
  <si>
    <t>3.8.3</t>
  </si>
  <si>
    <t>Seguro de responsabilidade civil facultativo (CDR) ..........</t>
  </si>
  <si>
    <t>3.8.4</t>
  </si>
  <si>
    <t>IPVA ...........................................................................</t>
  </si>
  <si>
    <t>3.9</t>
  </si>
  <si>
    <t>Infraestrutura</t>
  </si>
  <si>
    <t>3.9.1</t>
  </si>
  <si>
    <t>Tempo de contrato a partir da data de realização do investimento (DUC) ......................................................</t>
  </si>
  <si>
    <t>anos</t>
  </si>
  <si>
    <t>3.9.2</t>
  </si>
  <si>
    <t>Valor do investimento em infraestrutura (VIN) .................</t>
  </si>
  <si>
    <t>3.9.3</t>
  </si>
  <si>
    <t>Vida útil da infraestrutura(VUI)</t>
  </si>
  <si>
    <t>3.9.4</t>
  </si>
  <si>
    <t xml:space="preserve"> Estoque equivalente do almoxarifado.................................</t>
  </si>
  <si>
    <t>meses</t>
  </si>
  <si>
    <t>3.10</t>
  </si>
  <si>
    <t>Taxa de Remuneração do Capital (TRC)</t>
  </si>
  <si>
    <t>3.10.1</t>
  </si>
  <si>
    <t>Taxa do Sistema Especial de Liquidação e de Custódia (SELIC)..</t>
  </si>
  <si>
    <t>3.10.2</t>
  </si>
  <si>
    <t xml:space="preserve"> Índice Nacional de Preços ao Consumidor Amplo (IPCA)...........</t>
  </si>
  <si>
    <t>3.10.3</t>
  </si>
  <si>
    <t>3.11</t>
  </si>
  <si>
    <t>Capital investido em terrenos, edificações e equipamentos de garagem</t>
  </si>
  <si>
    <t>3.11.1</t>
  </si>
  <si>
    <t>Custos de investimento no terreno (CIT) .........................</t>
  </si>
  <si>
    <t>3.11.2</t>
  </si>
  <si>
    <t>Valor investido em edificações (CIE) ..............................</t>
  </si>
  <si>
    <t>3.11.3</t>
  </si>
  <si>
    <t>Vida Útil das Edificações (VUE)</t>
  </si>
  <si>
    <t>Buscar valor no Anexo IX</t>
  </si>
  <si>
    <t>3.11.4</t>
  </si>
  <si>
    <t>Valor Residual das Edificações (VRE)</t>
  </si>
  <si>
    <t>3.11.5</t>
  </si>
  <si>
    <t>Valor investido em equipamentos de garagem (CIG) ........</t>
  </si>
  <si>
    <t>3.11.6</t>
  </si>
  <si>
    <t>Vida Útil dos equipamentos de garagem (VUQ)</t>
  </si>
  <si>
    <t>3.11.7</t>
  </si>
  <si>
    <t>Vida residual dos equipamentos de garagem (VRG)</t>
  </si>
  <si>
    <t>3.11.8</t>
  </si>
  <si>
    <t>Valor investido em equipamentos de bilhetagem e ITS  (CEB)</t>
  </si>
  <si>
    <t>3.11.9</t>
  </si>
  <si>
    <t xml:space="preserve"> Vida útil dos equipamentos de bilhetagem e ITS (VUB)</t>
  </si>
  <si>
    <t>3.11.10</t>
  </si>
  <si>
    <t xml:space="preserve"> Valor residual dos equipamentos de bilhetagem e ITS (VRB)</t>
  </si>
  <si>
    <t>3.12</t>
  </si>
  <si>
    <t>Serviços de terceiros, compartilhados e locações</t>
  </si>
  <si>
    <t>3.12.1</t>
  </si>
  <si>
    <t>Despesas de Comercialização, serviços prestados em terminais/estações de transferência e centrais de controle da operação (CCM) .......................................................</t>
  </si>
  <si>
    <t>3.12.2</t>
  </si>
  <si>
    <t>Valor anual da locação por equipamento locado por veículo (QL) .................................................................</t>
  </si>
  <si>
    <t>R$/veículo/ano</t>
  </si>
  <si>
    <t>3.12.3</t>
  </si>
  <si>
    <t>Valor anual da locação de cada conjunto de equipamentos (QEL)......................................................</t>
  </si>
  <si>
    <t>3.12.4</t>
  </si>
  <si>
    <t>Quantidade de conjuntos de equipamentos locados (QEQ) .........................................................................</t>
  </si>
  <si>
    <t>unidades</t>
  </si>
  <si>
    <t>3.12.5</t>
  </si>
  <si>
    <t>Locação de garagem (CLG) ...........................................</t>
  </si>
  <si>
    <t>3.12.6</t>
  </si>
  <si>
    <t>Locação de Veículo de Apoio (CLA)...........</t>
  </si>
  <si>
    <t>3.13</t>
  </si>
  <si>
    <t xml:space="preserve">Taxa de remuneração do serviço (RPS) </t>
  </si>
  <si>
    <t>3.13.1</t>
  </si>
  <si>
    <t>Taxa de remuneração do serviço (RPS)  ......................</t>
  </si>
  <si>
    <t>Buscar valor no Anexo XV</t>
  </si>
  <si>
    <t>3.14</t>
  </si>
  <si>
    <t>Despesas gerais (CDG)................................................................................</t>
  </si>
  <si>
    <t>Buscar valor no Anexo XVI</t>
  </si>
  <si>
    <t>3.15</t>
  </si>
  <si>
    <t>Tributos Diretos (TRD)</t>
  </si>
  <si>
    <t>3.15.1</t>
  </si>
  <si>
    <t>Imposto sobre serviços de qualquer natureza (ISSQN) ....</t>
  </si>
  <si>
    <t>3.15.2</t>
  </si>
  <si>
    <t>Programa de integração social (PIS) ..............................</t>
  </si>
  <si>
    <t>3.15.3</t>
  </si>
  <si>
    <t>Contribuição para o financiamento da seguridade social (COFINS) ....................................................................</t>
  </si>
  <si>
    <t>3.15.4</t>
  </si>
  <si>
    <t>Taxa de ger. e adm. do sistema de transp. ou taxa de regulação do serviço e taxa de adm. de terminais ...........</t>
  </si>
  <si>
    <t>3.15.5</t>
  </si>
  <si>
    <t>INSS ...........................................................................</t>
  </si>
  <si>
    <t>3.15.6</t>
  </si>
  <si>
    <t>ICMS ...........................................................................</t>
  </si>
  <si>
    <t>3.15.7</t>
  </si>
  <si>
    <t>Outros tributos - IRPJ e CSLL .............................................................</t>
  </si>
  <si>
    <t>Subsídio (SUB)</t>
  </si>
  <si>
    <t>Subsídio mensal para custeio da tarifa..........................................</t>
  </si>
  <si>
    <t>2.1</t>
  </si>
  <si>
    <t>Custo Variável</t>
  </si>
  <si>
    <t>2.1.1</t>
  </si>
  <si>
    <t>Combustível (CMB)</t>
  </si>
  <si>
    <t>2.1.2</t>
  </si>
  <si>
    <t>2.1.3</t>
  </si>
  <si>
    <t>ARLA 32 (CAR)</t>
  </si>
  <si>
    <t>2.1.4</t>
  </si>
  <si>
    <t>Rodagem (CRD)</t>
  </si>
  <si>
    <t>2.1.5</t>
  </si>
  <si>
    <t>Peças e Acessórios (CPA)</t>
  </si>
  <si>
    <t>2.1.6</t>
  </si>
  <si>
    <t>2.2</t>
  </si>
  <si>
    <t>Custo Fixo</t>
  </si>
  <si>
    <t>2.2.1.</t>
  </si>
  <si>
    <t>Depreciação (CDP)</t>
  </si>
  <si>
    <t>2.2.1.1</t>
  </si>
  <si>
    <t>Veículos (DVE)</t>
  </si>
  <si>
    <t>2.2.1.2</t>
  </si>
  <si>
    <t>Edificações e equipamentos de garagem (DED)</t>
  </si>
  <si>
    <t>2.2.1.3</t>
  </si>
  <si>
    <t>Equipamentos de bilhetagem e ITS (DEQ)</t>
  </si>
  <si>
    <t>2.2.1.4</t>
  </si>
  <si>
    <t>Veículos de apoio (DVA)</t>
  </si>
  <si>
    <t>2.2.1.5</t>
  </si>
  <si>
    <t>Infraestrutura (DIN)</t>
  </si>
  <si>
    <t>2.2.2.</t>
  </si>
  <si>
    <t>Remuneração do Capital Imobilizado (CRC)</t>
  </si>
  <si>
    <t>2.2.2.1</t>
  </si>
  <si>
    <t>Veículos (RVE)</t>
  </si>
  <si>
    <t>2.2.2.2</t>
  </si>
  <si>
    <t>Terrenos, edificações e equipamentos de garagem (RTE)</t>
  </si>
  <si>
    <t>2.2.2.3</t>
  </si>
  <si>
    <t>Almoxarifado (RAL)</t>
  </si>
  <si>
    <t>2.2.2.4</t>
  </si>
  <si>
    <t>Equipamentos de bilhetagem e ITS (REQ)</t>
  </si>
  <si>
    <t>2.2.2.5</t>
  </si>
  <si>
    <t>Veículos de apoio (RVA)</t>
  </si>
  <si>
    <t>2.2.2.6</t>
  </si>
  <si>
    <t>Infraestrutura (RIN)</t>
  </si>
  <si>
    <t>2.2.3.</t>
  </si>
  <si>
    <t>Custos com pessoal (CPS)</t>
  </si>
  <si>
    <t>2.2.3.1</t>
  </si>
  <si>
    <t>Operação (DOP)</t>
  </si>
  <si>
    <t>2.2.3.2</t>
  </si>
  <si>
    <t>Pessoal de manutenção, administrativo e diretoria (DMA)</t>
  </si>
  <si>
    <t>2.2.4.</t>
  </si>
  <si>
    <t>Despesas administrativas (CAD)</t>
  </si>
  <si>
    <t>2.2.4.1</t>
  </si>
  <si>
    <t>Despesas gerais (CDG)</t>
  </si>
  <si>
    <t>2.2.4.2</t>
  </si>
  <si>
    <t>Seguro obrigatório e taxa de licenciamento (CDS)</t>
  </si>
  <si>
    <t>2.2.4.3</t>
  </si>
  <si>
    <t>Seguro de responsabilidade civil facultativo (CDR)</t>
  </si>
  <si>
    <t>2.2.4.4</t>
  </si>
  <si>
    <t>IPVA</t>
  </si>
  <si>
    <t>2.2.4.5</t>
  </si>
  <si>
    <t>Outras despesas operacionais (CCM)</t>
  </si>
  <si>
    <t>2.2.5.</t>
  </si>
  <si>
    <t>Locação dos equipamentos e sistemas de bilhetagem e ITS (CLQ)</t>
  </si>
  <si>
    <t>2.2.6.</t>
  </si>
  <si>
    <t>Locação de garagem (CLG)</t>
  </si>
  <si>
    <t>2.2.7.</t>
  </si>
  <si>
    <t>Locação de Veículos de Apoio (CLA)</t>
  </si>
  <si>
    <t>2.3</t>
  </si>
  <si>
    <t>Remuneração da prestação dos serviços (RPS)</t>
  </si>
  <si>
    <t>2.3.1.</t>
  </si>
  <si>
    <t>2.3.2.</t>
  </si>
  <si>
    <t>4.1</t>
  </si>
  <si>
    <t>Custo por Passageiro Transportado</t>
  </si>
  <si>
    <t>4.3.1</t>
  </si>
  <si>
    <t>Custo total</t>
  </si>
  <si>
    <t>4.3.2</t>
  </si>
  <si>
    <t>Passageiros transportados</t>
  </si>
  <si>
    <t>4.2</t>
  </si>
  <si>
    <t>Tarifa Pública</t>
  </si>
  <si>
    <t>4.2.1</t>
  </si>
  <si>
    <t>4.2.2</t>
  </si>
  <si>
    <t>Passageiros pagantes</t>
  </si>
  <si>
    <t>4.2.3</t>
  </si>
  <si>
    <t>Subsídio</t>
  </si>
  <si>
    <t>4.</t>
  </si>
  <si>
    <t>Cálculo do custo total mensal com impostos e tributos (CT)</t>
  </si>
  <si>
    <t>2.4</t>
  </si>
  <si>
    <t>Tributos Diretos (ITR)</t>
  </si>
  <si>
    <t>QUADRO RESUMO DOS CUSTOS (R$/MÊS)</t>
  </si>
  <si>
    <t>DESCRIÇÃO</t>
  </si>
  <si>
    <t>VALOR MENSAL</t>
  </si>
  <si>
    <t>CUSTO/KM</t>
  </si>
  <si>
    <t>CUSTO/VEÍCULO</t>
  </si>
  <si>
    <t>% Custo Total</t>
  </si>
  <si>
    <t>CUSTOS VARIÁVEIS</t>
  </si>
  <si>
    <r>
      <rPr>
        <sz val="10"/>
        <rFont val="Calibri"/>
        <family val="2"/>
      </rPr>
      <t>Combustível (</t>
    </r>
    <r>
      <rPr>
        <i/>
        <sz val="10"/>
        <rFont val="Calibri"/>
        <family val="2"/>
      </rPr>
      <t>CMB</t>
    </r>
    <r>
      <rPr>
        <sz val="10"/>
        <rFont val="Calibri"/>
        <family val="2"/>
      </rPr>
      <t>).........................................................................................................................</t>
    </r>
  </si>
  <si>
    <r>
      <rPr>
        <sz val="10"/>
        <rFont val="Calibri"/>
        <family val="2"/>
      </rPr>
      <t>Lubrificantes (</t>
    </r>
    <r>
      <rPr>
        <i/>
        <sz val="10"/>
        <rFont val="Calibri"/>
        <family val="2"/>
      </rPr>
      <t>CLB</t>
    </r>
    <r>
      <rPr>
        <sz val="10"/>
        <rFont val="Calibri"/>
        <family val="2"/>
      </rPr>
      <t>)......................................................................................................</t>
    </r>
  </si>
  <si>
    <r>
      <rPr>
        <sz val="10"/>
        <rFont val="Calibri"/>
        <family val="2"/>
      </rPr>
      <t>Material de rodagem (</t>
    </r>
    <r>
      <rPr>
        <i/>
        <sz val="10"/>
        <rFont val="Calibri"/>
        <family val="2"/>
      </rPr>
      <t>CRD</t>
    </r>
    <r>
      <rPr>
        <sz val="10"/>
        <rFont val="Calibri"/>
        <family val="2"/>
      </rPr>
      <t>)................................................................................................................................................</t>
    </r>
  </si>
  <si>
    <r>
      <rPr>
        <sz val="10"/>
        <rFont val="Calibri"/>
        <family val="2"/>
      </rPr>
      <t>Peças e acessórios (</t>
    </r>
    <r>
      <rPr>
        <i/>
        <sz val="10"/>
        <rFont val="Calibri"/>
        <family val="2"/>
      </rPr>
      <t>CPA</t>
    </r>
    <r>
      <rPr>
        <sz val="10"/>
        <rFont val="Calibri"/>
        <family val="2"/>
      </rPr>
      <t>)...............................................................................</t>
    </r>
  </si>
  <si>
    <r>
      <rPr>
        <sz val="10"/>
        <rFont val="Calibri"/>
        <family val="2"/>
      </rPr>
      <t>Custos ambientais (</t>
    </r>
    <r>
      <rPr>
        <i/>
        <sz val="10"/>
        <rFont val="Calibri"/>
        <family val="2"/>
      </rPr>
      <t>CAB</t>
    </r>
    <r>
      <rPr>
        <sz val="10"/>
        <rFont val="Calibri"/>
        <family val="2"/>
      </rPr>
      <t>)......................................................................................</t>
    </r>
  </si>
  <si>
    <t>TOTAL CUSTOS VARIÁVEIS</t>
  </si>
  <si>
    <t>CUSTOS FIXOS</t>
  </si>
  <si>
    <t>Pessoal</t>
  </si>
  <si>
    <t>Operação .............................................................................</t>
  </si>
  <si>
    <r>
      <rPr>
        <sz val="10"/>
        <rFont val="Calibri"/>
        <family val="2"/>
      </rPr>
      <t>Manutenção, administrativo e diretoria (</t>
    </r>
    <r>
      <rPr>
        <i/>
        <sz val="10"/>
        <rFont val="Calibri"/>
        <family val="2"/>
      </rPr>
      <t>DMA</t>
    </r>
    <r>
      <rPr>
        <sz val="10"/>
        <rFont val="Calibri"/>
        <family val="2"/>
      </rPr>
      <t>)...............................................................</t>
    </r>
  </si>
  <si>
    <t>subtotal</t>
  </si>
  <si>
    <t>Administrativas</t>
  </si>
  <si>
    <r>
      <rPr>
        <sz val="10"/>
        <rFont val="Calibri"/>
        <family val="2"/>
      </rPr>
      <t>Despesas gerais (</t>
    </r>
    <r>
      <rPr>
        <i/>
        <sz val="10"/>
        <rFont val="Calibri"/>
        <family val="2"/>
      </rPr>
      <t>CDG</t>
    </r>
    <r>
      <rPr>
        <sz val="10"/>
        <rFont val="Calibri"/>
        <family val="2"/>
      </rPr>
      <t>).....................................................................................................</t>
    </r>
  </si>
  <si>
    <r>
      <rPr>
        <sz val="10"/>
        <rFont val="Calibri"/>
        <family val="2"/>
      </rPr>
      <t>DPVAT e licenciamento (</t>
    </r>
    <r>
      <rPr>
        <i/>
        <sz val="10"/>
        <rFont val="Calibri"/>
        <family val="2"/>
      </rPr>
      <t>CDS</t>
    </r>
    <r>
      <rPr>
        <sz val="10"/>
        <rFont val="Calibri"/>
        <family val="2"/>
      </rPr>
      <t>)..........................................................................................................................</t>
    </r>
  </si>
  <si>
    <t>IPVA.............................................................................................................</t>
  </si>
  <si>
    <r>
      <rPr>
        <sz val="10"/>
        <rFont val="Calibri"/>
        <family val="2"/>
      </rPr>
      <t>Seguros (</t>
    </r>
    <r>
      <rPr>
        <i/>
        <sz val="10"/>
        <rFont val="Calibri"/>
        <family val="2"/>
      </rPr>
      <t>CRD</t>
    </r>
    <r>
      <rPr>
        <sz val="10"/>
        <rFont val="Calibri"/>
        <family val="2"/>
      </rPr>
      <t>)..........................................................................................................</t>
    </r>
  </si>
  <si>
    <r>
      <rPr>
        <sz val="10"/>
        <rFont val="Calibri"/>
        <family val="2"/>
      </rPr>
      <t>Outras despesas operacionais (</t>
    </r>
    <r>
      <rPr>
        <i/>
        <sz val="10"/>
        <rFont val="Calibri"/>
        <family val="2"/>
      </rPr>
      <t>CCM</t>
    </r>
    <r>
      <rPr>
        <sz val="10"/>
        <rFont val="Calibri"/>
        <family val="2"/>
      </rPr>
      <t>).........................................................................................</t>
    </r>
  </si>
  <si>
    <t>Depreciação</t>
  </si>
  <si>
    <r>
      <rPr>
        <sz val="10"/>
        <rFont val="Calibri"/>
        <family val="2"/>
      </rPr>
      <t>Veículos da frota (</t>
    </r>
    <r>
      <rPr>
        <i/>
        <sz val="10"/>
        <rFont val="Calibri"/>
        <family val="2"/>
      </rPr>
      <t>DVE</t>
    </r>
    <r>
      <rPr>
        <sz val="10"/>
        <rFont val="Calibri"/>
        <family val="2"/>
      </rPr>
      <t>)..............................................................................................</t>
    </r>
  </si>
  <si>
    <r>
      <rPr>
        <sz val="10"/>
        <rFont val="Calibri"/>
        <family val="2"/>
      </rPr>
      <t>Edificações e equipamentos de garagem (</t>
    </r>
    <r>
      <rPr>
        <i/>
        <sz val="10"/>
        <rFont val="Calibri"/>
        <family val="2"/>
      </rPr>
      <t>DED</t>
    </r>
    <r>
      <rPr>
        <sz val="10"/>
        <rFont val="Calibri"/>
        <family val="2"/>
      </rPr>
      <t>)..........................................................................................................</t>
    </r>
  </si>
  <si>
    <r>
      <rPr>
        <sz val="10"/>
        <rFont val="Calibri"/>
        <family val="2"/>
      </rPr>
      <t>Equipamentos de bilhetagem e ITS (</t>
    </r>
    <r>
      <rPr>
        <i/>
        <sz val="10"/>
        <rFont val="Calibri"/>
        <family val="2"/>
      </rPr>
      <t>DEQ</t>
    </r>
    <r>
      <rPr>
        <sz val="10"/>
        <rFont val="Calibri"/>
        <family val="2"/>
      </rPr>
      <t>).....................................................................................</t>
    </r>
  </si>
  <si>
    <r>
      <rPr>
        <sz val="10"/>
        <rFont val="Calibri"/>
        <family val="2"/>
      </rPr>
      <t>Veículos de apoio (</t>
    </r>
    <r>
      <rPr>
        <i/>
        <sz val="10"/>
        <rFont val="Calibri"/>
        <family val="2"/>
      </rPr>
      <t>DVA</t>
    </r>
    <r>
      <rPr>
        <sz val="10"/>
        <rFont val="Calibri"/>
        <family val="2"/>
      </rPr>
      <t>).....................................................................................................</t>
    </r>
  </si>
  <si>
    <r>
      <rPr>
        <sz val="10"/>
        <rFont val="Calibri"/>
        <family val="2"/>
      </rPr>
      <t>Infraestrutura (</t>
    </r>
    <r>
      <rPr>
        <i/>
        <sz val="10"/>
        <rFont val="Calibri"/>
        <family val="2"/>
      </rPr>
      <t>DIN</t>
    </r>
    <r>
      <rPr>
        <sz val="10"/>
        <rFont val="Calibri"/>
        <family val="2"/>
      </rPr>
      <t>).........................................................................................</t>
    </r>
  </si>
  <si>
    <t>Remuneração</t>
  </si>
  <si>
    <r>
      <rPr>
        <sz val="10"/>
        <rFont val="Calibri"/>
        <family val="2"/>
      </rPr>
      <t>Veículos da frota (</t>
    </r>
    <r>
      <rPr>
        <i/>
        <sz val="10"/>
        <rFont val="Calibri"/>
        <family val="2"/>
      </rPr>
      <t>RVE</t>
    </r>
    <r>
      <rPr>
        <sz val="10"/>
        <rFont val="Calibri"/>
        <family val="2"/>
      </rPr>
      <t>).......................................................................................................</t>
    </r>
  </si>
  <si>
    <r>
      <rPr>
        <sz val="10"/>
        <rFont val="Calibri"/>
        <family val="2"/>
      </rPr>
      <t>Terrenos, edificações e equipamentos de garagem (</t>
    </r>
    <r>
      <rPr>
        <i/>
        <sz val="10"/>
        <rFont val="Calibri"/>
        <family val="2"/>
      </rPr>
      <t>RTE</t>
    </r>
    <r>
      <rPr>
        <sz val="10"/>
        <rFont val="Calibri"/>
        <family val="2"/>
      </rPr>
      <t>)...............................................................................................................</t>
    </r>
  </si>
  <si>
    <r>
      <rPr>
        <sz val="10"/>
        <rFont val="Calibri"/>
        <family val="2"/>
      </rPr>
      <t>Almoxarifado (</t>
    </r>
    <r>
      <rPr>
        <i/>
        <sz val="10"/>
        <rFont val="Calibri"/>
        <family val="2"/>
      </rPr>
      <t>RAL</t>
    </r>
    <r>
      <rPr>
        <sz val="10"/>
        <rFont val="Calibri"/>
        <family val="2"/>
      </rPr>
      <t>).............................................................................................</t>
    </r>
  </si>
  <si>
    <r>
      <rPr>
        <sz val="10"/>
        <rFont val="Calibri"/>
        <family val="2"/>
      </rPr>
      <t>Equipamentos de bilhetagem e ITS (</t>
    </r>
    <r>
      <rPr>
        <i/>
        <sz val="10"/>
        <rFont val="Calibri"/>
        <family val="2"/>
      </rPr>
      <t>REQ</t>
    </r>
    <r>
      <rPr>
        <sz val="10"/>
        <rFont val="Calibri"/>
        <family val="2"/>
      </rPr>
      <t>)....................................................................................</t>
    </r>
  </si>
  <si>
    <r>
      <rPr>
        <sz val="10"/>
        <rFont val="Calibri"/>
        <family val="2"/>
      </rPr>
      <t>Veículos de apoio (</t>
    </r>
    <r>
      <rPr>
        <i/>
        <sz val="10"/>
        <rFont val="Calibri"/>
        <family val="2"/>
      </rPr>
      <t>RVA</t>
    </r>
    <r>
      <rPr>
        <sz val="10"/>
        <rFont val="Calibri"/>
        <family val="2"/>
      </rPr>
      <t>)................................................................................................</t>
    </r>
  </si>
  <si>
    <r>
      <rPr>
        <sz val="10"/>
        <rFont val="Calibri"/>
        <family val="2"/>
      </rPr>
      <t>Infraestrutura (</t>
    </r>
    <r>
      <rPr>
        <i/>
        <sz val="10"/>
        <rFont val="Calibri"/>
        <family val="2"/>
      </rPr>
      <t>RIN</t>
    </r>
    <r>
      <rPr>
        <sz val="10"/>
        <rFont val="Calibri"/>
        <family val="2"/>
      </rPr>
      <t>)................................................................................................</t>
    </r>
  </si>
  <si>
    <t>Outras despesas</t>
  </si>
  <si>
    <r>
      <rPr>
        <sz val="10"/>
        <rFont val="Calibri"/>
        <family val="2"/>
      </rPr>
      <t>Locação dos equipamentos e sistemas de bilhetagem e ITS (</t>
    </r>
    <r>
      <rPr>
        <i/>
        <sz val="10"/>
        <rFont val="Calibri"/>
        <family val="2"/>
      </rPr>
      <t>CLQ</t>
    </r>
    <r>
      <rPr>
        <sz val="10"/>
        <rFont val="Calibri"/>
        <family val="2"/>
      </rPr>
      <t>).............................................................</t>
    </r>
  </si>
  <si>
    <r>
      <rPr>
        <sz val="10"/>
        <rFont val="Calibri"/>
        <family val="2"/>
      </rPr>
      <t>Locação de garagem (</t>
    </r>
    <r>
      <rPr>
        <i/>
        <sz val="10"/>
        <rFont val="Calibri"/>
        <family val="2"/>
      </rPr>
      <t>CLG</t>
    </r>
    <r>
      <rPr>
        <sz val="10"/>
        <rFont val="Calibri"/>
        <family val="2"/>
      </rPr>
      <t>).......................................................................................................................</t>
    </r>
  </si>
  <si>
    <r>
      <rPr>
        <sz val="10"/>
        <rFont val="Calibri"/>
        <family val="2"/>
      </rPr>
      <t>Locação de veículos de Apoio (</t>
    </r>
    <r>
      <rPr>
        <i/>
        <sz val="10"/>
        <rFont val="Calibri"/>
        <family val="2"/>
      </rPr>
      <t>CLA</t>
    </r>
    <r>
      <rPr>
        <sz val="10"/>
        <rFont val="Calibri"/>
        <family val="2"/>
      </rPr>
      <t>)............................................................................</t>
    </r>
  </si>
  <si>
    <t>TOTAL CUSTOS FIXOS</t>
  </si>
  <si>
    <t>TOTAL CUSTOS VARIÁVEIS E FIXOS</t>
  </si>
  <si>
    <t>REMUNERAÇÃO PELA PRESTAÇÃO DE SERVIÇO (RPS)</t>
  </si>
  <si>
    <t>TRIBUTAÇÃO</t>
  </si>
  <si>
    <t>Lei Federal nº 12.715 (INSS).................................................................................................................................................................................................</t>
  </si>
  <si>
    <t>ISSQN........................................................................................................................................................................................................................................................................</t>
  </si>
  <si>
    <t>ICMS...............................................................................................................................................................................................................</t>
  </si>
  <si>
    <t>Taxa de gerenciamento.........................................................................................................................................................................................</t>
  </si>
  <si>
    <t>PIS..................................................................................................................................................................................................................</t>
  </si>
  <si>
    <t>COFINS.....................................................................................................................................................................................................................................</t>
  </si>
  <si>
    <t>Outros - IRPJ e CSLL................................................................................................................................................................................................</t>
  </si>
  <si>
    <t>SOMA DAS ALÍQUOTAS DOS TRIBUTOS DIRETOS</t>
  </si>
  <si>
    <t>TOTAL DE TRIBUTOS</t>
  </si>
  <si>
    <t>CUSTO TOTAL</t>
  </si>
  <si>
    <t>ANEXO III – Consumo de combustível</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</si>
  <si>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</si>
  <si>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</si>
  <si>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</si>
  <si>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t>Micro-ônibus</t>
  </si>
  <si>
    <t>Classe</t>
  </si>
  <si>
    <t>De</t>
  </si>
  <si>
    <t>Veículo</t>
  </si>
  <si>
    <t xml:space="preserve">*esses valores se referem a veículos operando sem ar-condicionado e sem transmissão automática. </t>
  </si>
  <si>
    <t>ANEXO IV – RELAÇÃO ENTRE O PREÇO DE LUBRIFICANTES E CONSUMO DE ÓLEO DIESEL</t>
  </si>
  <si>
    <r>
      <rPr>
        <b/>
        <sz val="11"/>
        <rFont val="Calibri"/>
        <family val="2"/>
      </rPr>
      <t>IV.</t>
    </r>
    <r>
      <rPr>
        <b/>
        <i/>
        <sz val="11"/>
        <rFont val="Calibri"/>
        <family val="2"/>
      </rPr>
      <t xml:space="preserve">a </t>
    </r>
    <r>
      <rPr>
        <b/>
        <sz val="11"/>
        <rFont val="Calibri"/>
        <family val="2"/>
      </rPr>
      <t>Valor de referência</t>
    </r>
  </si>
  <si>
    <t>coeficiente de correlação do consumo de lubrificante relacionado ao consumo do óleo diesel</t>
  </si>
  <si>
    <t>j</t>
  </si>
  <si>
    <t>médio</t>
  </si>
  <si>
    <t xml:space="preserve"> l/km</t>
  </si>
  <si>
    <t>ANEXO V – CONSUMO DO ARLA 32 EM ÔNIBUS</t>
  </si>
  <si>
    <t>V.a</t>
  </si>
  <si>
    <t>Valores de referência para Consumo do Arla 32 em ônibus</t>
  </si>
  <si>
    <t>Consumo do Arla 32</t>
  </si>
  <si>
    <t>δ [minimo]</t>
  </si>
  <si>
    <t>δ [máximo]</t>
  </si>
  <si>
    <t>ANEXO VI – VIDA ÚTIL E RECAPAGEM DE PNEUS</t>
  </si>
  <si>
    <t>VI.a.</t>
  </si>
  <si>
    <t>Valores de Referência de número de recapagens</t>
  </si>
  <si>
    <r>
      <rPr>
        <i/>
        <sz val="11"/>
        <color indexed="8"/>
        <rFont val="Calibri"/>
        <family val="2"/>
      </rPr>
      <t>β</t>
    </r>
    <r>
      <rPr>
        <i/>
        <sz val="8"/>
        <color indexed="8"/>
        <rFont val="Calibri"/>
        <family val="2"/>
      </rPr>
      <t>Minimo</t>
    </r>
  </si>
  <si>
    <r>
      <rPr>
        <i/>
        <sz val="11"/>
        <color indexed="8"/>
        <rFont val="Calibri"/>
        <family val="2"/>
      </rPr>
      <t>β</t>
    </r>
    <r>
      <rPr>
        <i/>
        <sz val="8"/>
        <color indexed="8"/>
        <rFont val="Calibri"/>
        <family val="2"/>
      </rPr>
      <t>Máximo</t>
    </r>
  </si>
  <si>
    <t>VI.b.</t>
  </si>
  <si>
    <t>Valores de Referência para vida útil dos pneus</t>
  </si>
  <si>
    <r>
      <rPr>
        <b/>
        <sz val="11"/>
        <color indexed="9"/>
        <rFont val="Calibri"/>
        <family val="2"/>
      </rP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</si>
  <si>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</si>
  <si>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t>VI.c.</t>
  </si>
  <si>
    <t>Especificações de pneus por classe de veículo</t>
  </si>
  <si>
    <t>Dimensões</t>
  </si>
  <si>
    <t>Tipo</t>
  </si>
  <si>
    <t>Número de Pneus (NP)</t>
  </si>
  <si>
    <t>215/75 R17,5</t>
  </si>
  <si>
    <t xml:space="preserve">Radiais sem câmara </t>
  </si>
  <si>
    <t>pneus</t>
  </si>
  <si>
    <t>275/80 R22,5</t>
  </si>
  <si>
    <t>295/80 R22,5</t>
  </si>
  <si>
    <t>VI.d.</t>
  </si>
  <si>
    <t>Custo da recapagem por estrato da frota</t>
  </si>
  <si>
    <t>Número de recapagens (β)</t>
  </si>
  <si>
    <r>
      <rPr>
        <b/>
        <sz val="11"/>
        <color indexed="9"/>
        <rFont val="Calibri"/>
        <family val="2"/>
      </rPr>
      <t>Custo da recapagem (REC</t>
    </r>
    <r>
      <rPr>
        <b/>
        <sz val="10"/>
        <color indexed="9"/>
        <rFont val="Calibri"/>
        <family val="2"/>
      </rPr>
      <t>z</t>
    </r>
    <r>
      <rPr>
        <b/>
        <sz val="11"/>
        <color indexed="9"/>
        <rFont val="Calibri"/>
        <family val="2"/>
      </rPr>
      <t>)</t>
    </r>
  </si>
  <si>
    <t>VI.e.</t>
  </si>
  <si>
    <t>Custo do pneu novo por estrato da frota</t>
  </si>
  <si>
    <t>Custo de pneus (PNUz)</t>
  </si>
  <si>
    <t>VI.f.</t>
  </si>
  <si>
    <t>Custo de rodagem por estrato da frota</t>
  </si>
  <si>
    <r>
      <rPr>
        <b/>
        <sz val="11"/>
        <color indexed="9"/>
        <rFont val="Calibri"/>
        <family val="2"/>
      </rPr>
      <t>Vida útil rodagem (PNU</t>
    </r>
    <r>
      <rPr>
        <b/>
        <sz val="9"/>
        <color indexed="9"/>
        <rFont val="Calibri"/>
        <family val="2"/>
      </rPr>
      <t>z</t>
    </r>
    <r>
      <rPr>
        <b/>
        <sz val="11"/>
        <color indexed="9"/>
        <rFont val="Calibri"/>
        <family val="2"/>
      </rPr>
      <t>)</t>
    </r>
  </si>
  <si>
    <t>Custo da rodagem (CRD)</t>
  </si>
  <si>
    <t>ANEXO VII – PEÇAS E ACESSÓRIOS</t>
  </si>
  <si>
    <t>VII.a</t>
  </si>
  <si>
    <t>Valores de referência para consumo anual de peças e acessórios</t>
  </si>
  <si>
    <t>Consumo de Peças e Acessórios</t>
  </si>
  <si>
    <t xml:space="preserve">μ </t>
  </si>
  <si>
    <r>
      <rPr>
        <b/>
        <sz val="12"/>
        <color indexed="9"/>
        <rFont val="Calibri"/>
        <family val="2"/>
      </rPr>
      <t>Faixa etária (</t>
    </r>
    <r>
      <rPr>
        <b/>
        <i/>
        <sz val="12"/>
        <color indexed="9"/>
        <rFont val="Calibri"/>
        <family val="2"/>
      </rPr>
      <t>t</t>
    </r>
    <r>
      <rPr>
        <b/>
        <sz val="12"/>
        <color indexed="9"/>
        <rFont val="Calibri"/>
        <family val="2"/>
      </rPr>
      <t>)</t>
    </r>
  </si>
  <si>
    <t>0 a 2 anos</t>
  </si>
  <si>
    <t>3 a 4 anos</t>
  </si>
  <si>
    <t>5 a 6 anos</t>
  </si>
  <si>
    <t>7 a 8 anos</t>
  </si>
  <si>
    <t>9 a 10 anos</t>
  </si>
  <si>
    <t>acima de 10 anos</t>
  </si>
  <si>
    <t>ANEXO VIII – CUSTOS AMBIENTAIS</t>
  </si>
  <si>
    <t>VIII.a</t>
  </si>
  <si>
    <t>Valores de referência para custos ambientais</t>
  </si>
  <si>
    <t>Custos ambientais</t>
  </si>
  <si>
    <t>α [minimo]</t>
  </si>
  <si>
    <t>α [máximo]</t>
  </si>
  <si>
    <t>ANEXO IX – DEPRECIAÇÃO</t>
  </si>
  <si>
    <t>IX.a. Depreciação de veículos</t>
  </si>
  <si>
    <t>IX.a.1</t>
  </si>
  <si>
    <t>Valores de referência para vida útil e valor residual por tipo de veículo</t>
  </si>
  <si>
    <t>Vida Útil (Anos)</t>
  </si>
  <si>
    <t>Valor Residual (%)</t>
  </si>
  <si>
    <t>IX.a.2</t>
  </si>
  <si>
    <r>
      <rPr>
        <b/>
        <i/>
        <sz val="11"/>
        <rFont val="Calibri"/>
        <family val="2"/>
      </rPr>
      <t>Fatores mensais de depreciação de veículos (λ</t>
    </r>
    <r>
      <rPr>
        <b/>
        <i/>
        <sz val="8"/>
        <rFont val="Calibri"/>
        <family val="2"/>
      </rPr>
      <t>z</t>
    </r>
    <r>
      <rPr>
        <b/>
        <i/>
        <sz val="11"/>
        <rFont val="Calibri"/>
        <family val="2"/>
      </rPr>
      <t>^[t])</t>
    </r>
  </si>
  <si>
    <t>Faixa etária (t) anos</t>
  </si>
  <si>
    <t>Midiônibus e Básico</t>
  </si>
  <si>
    <t>Padron</t>
  </si>
  <si>
    <t>-</t>
  </si>
  <si>
    <t>&gt;</t>
  </si>
  <si>
    <t>IX.a.3</t>
  </si>
  <si>
    <t>Número de veículos por classe e idade</t>
  </si>
  <si>
    <t>IX.a.4</t>
  </si>
  <si>
    <t>Depreciação dos veículos - etapa de cálculo</t>
  </si>
  <si>
    <t>λz</t>
  </si>
  <si>
    <t>IX.a.5</t>
  </si>
  <si>
    <t>Depreciação dos veículos</t>
  </si>
  <si>
    <t>DVE</t>
  </si>
  <si>
    <t>IX.b. Depreciação de edificações e equipamentos e mobiliário de garagem</t>
  </si>
  <si>
    <t>IX.b.1</t>
  </si>
  <si>
    <t>Valores de referência para vida útil e valor residual das edificações e equipamentos de garagem</t>
  </si>
  <si>
    <t xml:space="preserve">Edificações </t>
  </si>
  <si>
    <t>Equipamentos de garagem</t>
  </si>
  <si>
    <t>IX.b.2</t>
  </si>
  <si>
    <t>Coeficiente de depreciação das edificações (ϖ)</t>
  </si>
  <si>
    <t>ϖ=</t>
  </si>
  <si>
    <t>IX.b.3</t>
  </si>
  <si>
    <t>Coeficiente de depreciação dos equipamentos (τ)</t>
  </si>
  <si>
    <t>τ=</t>
  </si>
  <si>
    <t>IX.b.4</t>
  </si>
  <si>
    <t>Valores de referência para vida útil dos equipamentos de bilhetagem e ITS</t>
  </si>
  <si>
    <t>Equip. Bilhetagem e ITS</t>
  </si>
  <si>
    <t>IX.b.5</t>
  </si>
  <si>
    <r>
      <rPr>
        <b/>
        <i/>
        <sz val="11"/>
        <rFont val="Calibri"/>
        <family val="2"/>
      </rPr>
      <t>Coeficiente de depreciação dos equipamentos de bilhetagem e ITS (</t>
    </r>
    <r>
      <rPr>
        <b/>
        <sz val="11"/>
        <rFont val="Calibri"/>
        <family val="2"/>
      </rPr>
      <t>χ</t>
    </r>
    <r>
      <rPr>
        <b/>
        <i/>
        <sz val="11"/>
        <rFont val="Calibri"/>
        <family val="2"/>
      </rPr>
      <t>)</t>
    </r>
  </si>
  <si>
    <t>χ=</t>
  </si>
  <si>
    <t>IX.b.6</t>
  </si>
  <si>
    <t>Valores de referência para vida útil e valor residual dos veículos de apoio</t>
  </si>
  <si>
    <t>Veículos de apoio</t>
  </si>
  <si>
    <t xml:space="preserve">Valor Residual </t>
  </si>
  <si>
    <t>ANEXO X – REMUNERAÇÃO DO CAPITAL IMOBILIZADO</t>
  </si>
  <si>
    <t>X.a</t>
  </si>
  <si>
    <t>Remuneração do capital imobilizado em veículos</t>
  </si>
  <si>
    <t>X.a.1</t>
  </si>
  <si>
    <t>X.a.2</t>
  </si>
  <si>
    <t>κz [t]</t>
  </si>
  <si>
    <t>X.a.3</t>
  </si>
  <si>
    <t>Remuneração dos veículos - etapa de cálculo</t>
  </si>
  <si>
    <t>X.a.4</t>
  </si>
  <si>
    <t>X.a.5</t>
  </si>
  <si>
    <t>Remuneração dos veículos</t>
  </si>
  <si>
    <t>RVE</t>
  </si>
  <si>
    <t>X.b.</t>
  </si>
  <si>
    <t>Remuneração do capital imobilizado em terrenos, edificações e equipamentos de garagem</t>
  </si>
  <si>
    <t>X.b.1.</t>
  </si>
  <si>
    <t>Coeficientes de remuneração do capital</t>
  </si>
  <si>
    <t>Coeficiente</t>
  </si>
  <si>
    <t xml:space="preserve">Valor </t>
  </si>
  <si>
    <t>coeficiente de remuneração anual do capital imobilizado em terrenos</t>
  </si>
  <si>
    <t>r</t>
  </si>
  <si>
    <t>coeficiente de remuneração anual do capital imobilizado em edificações</t>
  </si>
  <si>
    <t>ε</t>
  </si>
  <si>
    <t>coeficiente de remuneração anual do capital imobilizado em equipamentos e mobiliário de garagem</t>
  </si>
  <si>
    <t>η</t>
  </si>
  <si>
    <t>X.b.2.</t>
  </si>
  <si>
    <t>Remuneração do capital imobilizado emTerrenos, edificações e equipamentos de garagem (RTE)</t>
  </si>
  <si>
    <t>RTE =</t>
  </si>
  <si>
    <t>X.c.</t>
  </si>
  <si>
    <t>Remuneração do capital imobilizado em equipamentos de bilhetagem e ITS</t>
  </si>
  <si>
    <t>X.c.1</t>
  </si>
  <si>
    <t>Fator de remuneração dos equipamentos de bilhetagem e ITS (FRE)</t>
  </si>
  <si>
    <t>FRE</t>
  </si>
  <si>
    <t>X.d.</t>
  </si>
  <si>
    <t>Remuneração do capital imobilizado em veículos de apoio</t>
  </si>
  <si>
    <t>X.d.1</t>
  </si>
  <si>
    <t>fator de remuneração de veículos de apoio (FRV)</t>
  </si>
  <si>
    <t>FRV</t>
  </si>
  <si>
    <t>x-a.</t>
  </si>
  <si>
    <t>dados de entrada</t>
  </si>
  <si>
    <t>VUI</t>
  </si>
  <si>
    <t>TRI</t>
  </si>
  <si>
    <t>x-b.</t>
  </si>
  <si>
    <t>Fator de remuneração dos equipamentos de bilhetagem e ITS</t>
  </si>
  <si>
    <t>FRI</t>
  </si>
  <si>
    <t>X.e.</t>
  </si>
  <si>
    <t>Remuneração do capital imobilizado em infraestrutura</t>
  </si>
  <si>
    <t>X.e.1</t>
  </si>
  <si>
    <t>Fator de remuneração da infraestrutura (FRI)</t>
  </si>
  <si>
    <t>ANEXO XII – FATORES DE UTILIZAÇÃO DE PESSOAL DE OPERAÇÃO E ENCARGOS SOCIAIS</t>
  </si>
  <si>
    <t>XII.a</t>
  </si>
  <si>
    <t xml:space="preserve">Tabela de referência para o cálculo do Fator de Utilização </t>
  </si>
  <si>
    <t>Jornada de Trabalho Comumente Utilizadas</t>
  </si>
  <si>
    <t>Duração Equivalente da Operação - Dia útil</t>
  </si>
  <si>
    <t>ANEXO XIII – MÉTODO PARA CÁLCULO DAS DESPESAS COM PESSOAL DE MANUTENÇÃO, ADMINISTRATIVO E DIRETORIA</t>
  </si>
  <si>
    <t>XIII.a</t>
  </si>
  <si>
    <t>Perecentual de referência inclidente sobre despesas DMA</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</si>
  <si>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</si>
  <si>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</si>
  <si>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Faixa</t>
  </si>
  <si>
    <t>(%)</t>
  </si>
  <si>
    <t>10 a 22</t>
  </si>
  <si>
    <t>23 a 45</t>
  </si>
  <si>
    <t>46 a 78</t>
  </si>
  <si>
    <t>79 a 121</t>
  </si>
  <si>
    <t>122 a 174</t>
  </si>
  <si>
    <t>ANEXO XV – MÉTODO DE CÁLCULO DO FATOR DE RISCO</t>
  </si>
  <si>
    <t>XV</t>
  </si>
  <si>
    <t>Deseja calcular o coeficiente de remuneração da prestação de serviço (marcar X):</t>
  </si>
  <si>
    <t>Metodologia simplificada</t>
  </si>
  <si>
    <t>(ir para o item XV.a)</t>
  </si>
  <si>
    <t>Metodologia detalhada</t>
  </si>
  <si>
    <t>(ir para o item XV.d)</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</si>
  <si>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</si>
  <si>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</si>
  <si>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</si>
  <si>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</si>
  <si>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</si>
  <si>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</si>
  <si>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</si>
  <si>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</si>
  <si>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</si>
  <si>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</si>
  <si>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</si>
  <si>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</si>
  <si>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Risco Médio</t>
  </si>
  <si>
    <t>Risco Alto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</si>
  <si>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</si>
  <si>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</si>
  <si>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</si>
  <si>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</si>
  <si>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</si>
  <si>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</si>
  <si>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</si>
  <si>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</si>
  <si>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</si>
  <si>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Matriz de Riscos e Atribuições</t>
  </si>
  <si>
    <t>Dimensão</t>
  </si>
  <si>
    <t>Descrição do risco</t>
  </si>
  <si>
    <t>Impacto sobre a equação financeira</t>
  </si>
  <si>
    <t>Situações em que não se Aplica</t>
  </si>
  <si>
    <t xml:space="preserve"> Risco Baixo</t>
  </si>
  <si>
    <t>ATRIBUIÇÃO</t>
  </si>
  <si>
    <t xml:space="preserve">Risco 1- Garagens e Infraestrutura </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</si>
  <si>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</si>
  <si>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</si>
  <si>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</si>
  <si>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</si>
  <si>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</si>
  <si>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</si>
  <si>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</si>
  <si>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 xml:space="preserve">Risco 2- Tecnologia e sistemas </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</si>
  <si>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</si>
  <si>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</si>
  <si>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</si>
  <si>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</si>
  <si>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</si>
  <si>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Risco 3- Investimento público vs. Produtividade</t>
  </si>
  <si>
    <t>Riscos Relacionados aos Investimentos Públicos e produtividade</t>
  </si>
  <si>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</si>
  <si>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</si>
  <si>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</si>
  <si>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</si>
  <si>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</si>
  <si>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</si>
  <si>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Risco 4- Certificação ambiental</t>
  </si>
  <si>
    <t>Regulamentação
Ambiental</t>
  </si>
  <si>
    <t>Obtenção da certificação, ISO ou similar, é mais demorada ou enseja maiores custos de implantação do que o previsto.</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</si>
  <si>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</si>
  <si>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</si>
  <si>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</si>
  <si>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</si>
  <si>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Projetos que apresentem exigência de certificação ambiental para todos os bens móveis e imóveis da empresa operadora</t>
  </si>
  <si>
    <t>Risco 5- Mudanças na normatização ambiental</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</si>
  <si>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</si>
  <si>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</si>
  <si>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</si>
  <si>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</si>
  <si>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</si>
  <si>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</si>
  <si>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Risco 6- Risco global de demanda</t>
  </si>
  <si>
    <t>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</si>
  <si>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</si>
  <si>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</si>
  <si>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integralmente remunerados com base em custo (ponderação entre frota disponibilizada e km percorrida), em que a demanda não influencie a remuneração da empresa operadora.</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</si>
  <si>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</si>
  <si>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</si>
  <si>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</si>
  <si>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Risco 7- Gratuidades</t>
  </si>
  <si>
    <t>Gratuidades</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</si>
  <si>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</si>
  <si>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</si>
  <si>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</si>
  <si>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</si>
  <si>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</si>
  <si>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Risco 8- Demanda integrada</t>
  </si>
  <si>
    <t>Perda de receita: dinâmica de sistemas integrados de transportes</t>
  </si>
  <si>
    <t>Aumento da participação dos usuários integrados pode, em casos específicos, gerar queda de receita proporcionalmente maior do que a redução de custos</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</si>
  <si>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</si>
  <si>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</si>
  <si>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</si>
  <si>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Risco 9- Reajuste de tarifas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</si>
  <si>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</si>
  <si>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</si>
  <si>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</si>
  <si>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Não há</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</si>
  <si>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</si>
  <si>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Previsão contratual de sanções para o Poder Concedente por inadimplemento de obrigações contratuais.</t>
  </si>
  <si>
    <t>Inexistência de mecanismos de sanção formal do Poder Público por inadimplemento de obrigações contratuais.</t>
  </si>
  <si>
    <t>Risco 10- Inadimplemento público</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</si>
  <si>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</si>
  <si>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</si>
  <si>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</si>
  <si>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Risco 11- Câmara de compesação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</si>
  <si>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</si>
  <si>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</si>
  <si>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</si>
  <si>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</si>
  <si>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</si>
  <si>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</si>
  <si>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Risco 12- Acidentes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</si>
  <si>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</si>
  <si>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</si>
  <si>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</si>
  <si>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</si>
  <si>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Risco 13- Alteração de padrões técnicos</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</si>
  <si>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</si>
  <si>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</si>
  <si>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</si>
  <si>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</si>
  <si>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</si>
  <si>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Risco 14- Desordem civil</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</si>
  <si>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</si>
  <si>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</si>
  <si>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</si>
  <si>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</si>
  <si>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</si>
  <si>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Risco 15- Salários acima da inflação</t>
  </si>
  <si>
    <t>Questões 
Trabalhistas</t>
  </si>
  <si>
    <t>Elevação nos custos trabalhistas por aumento de salários acima dos índices convencionais de inflação.</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</si>
  <si>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</si>
  <si>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</si>
  <si>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</si>
  <si>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</si>
  <si>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</si>
  <si>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Risco 16- Greve trabalhista</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</si>
  <si>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</si>
  <si>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</si>
  <si>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</si>
  <si>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Risco 17- Alteração significativa da taxa de juros</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</si>
  <si>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</si>
  <si>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</si>
  <si>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</si>
  <si>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</si>
  <si>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</si>
  <si>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Inexistência de previsão contratual atribui a assunção integral deste risco à empresa concessionária.</t>
  </si>
  <si>
    <t>Não se Aplica</t>
  </si>
  <si>
    <t>Risco baixo</t>
  </si>
  <si>
    <t>Risco médio</t>
  </si>
  <si>
    <t>Risco alto</t>
  </si>
  <si>
    <t>XV-e</t>
  </si>
  <si>
    <t>Cálculo dos riscos</t>
  </si>
  <si>
    <t>Incidência</t>
  </si>
  <si>
    <t>Impacto de Evento a 5%</t>
  </si>
  <si>
    <t>Desvio Padrão</t>
  </si>
  <si>
    <t>Variância</t>
  </si>
  <si>
    <t>XV-f</t>
  </si>
  <si>
    <t xml:space="preserve">Definição do Nível de Segurança </t>
  </si>
  <si>
    <t>Nível de Segurança</t>
  </si>
  <si>
    <t>Risco adotado (%)</t>
  </si>
  <si>
    <t>Situações em Que não se Aplica</t>
  </si>
  <si>
    <t>Impacto (95%)</t>
  </si>
  <si>
    <t>CUSTOS IMPACTADOS (% do Custo total)</t>
  </si>
  <si>
    <t>DED+DIN+RTE+RIN+CLG</t>
  </si>
  <si>
    <t>DEQ+REQ+CLQ+CLA+CCM</t>
  </si>
  <si>
    <t>DOP+DVE+RVE+CDS+IPVA+CDR+CCM+DED+DEQ+RTE+RAL+REQ+CLQ+CLG+DVA+RVA+CLA+CMB</t>
  </si>
  <si>
    <t>Risco 4 -Certificação ambiental</t>
  </si>
  <si>
    <t>CMB+CAB+DVE+RVE</t>
  </si>
  <si>
    <t>CMB+CLB+CAR+CRD+CPA+CAB+DVE+RVE</t>
  </si>
  <si>
    <t>DVE+RVE+DEQ+REQ+DIN+RIN+CLQ</t>
  </si>
  <si>
    <t>DOP+DMA</t>
  </si>
  <si>
    <t>DVE+DED+DEQ+DVA+DIN+RVE+ RTE+RAL+REQ+RVA+RIN</t>
  </si>
  <si>
    <t>XVI. Cálculo das Despesas Gerais</t>
  </si>
  <si>
    <t>Anual</t>
  </si>
  <si>
    <r>
      <rPr>
        <b/>
        <sz val="10"/>
        <rFont val="Arial"/>
        <family val="2"/>
      </rPr>
      <t>Equipamento de segurança</t>
    </r>
    <r>
      <rPr>
        <sz val="10"/>
        <rFont val="Arial"/>
        <family val="2"/>
      </rPr>
      <t>................................................................</t>
    </r>
  </si>
  <si>
    <t>Material de limpeza.....................................................................</t>
  </si>
  <si>
    <t>Material de escritório...............................................................................</t>
  </si>
  <si>
    <t>Material de consumo de informática............................................................</t>
  </si>
  <si>
    <t>Material de manutenção predial......................................................</t>
  </si>
  <si>
    <t>Total de Material de consumo</t>
  </si>
  <si>
    <t>Despesas médicas obrigatórias - Seguro Funcionários</t>
  </si>
  <si>
    <t>Serviço de conservação e manutenção</t>
  </si>
  <si>
    <t>Água e esgoto......................................................................</t>
  </si>
  <si>
    <t>Energia elétrica................................................................................</t>
  </si>
  <si>
    <t>Correios...........................................................................</t>
  </si>
  <si>
    <t>Total de Serviços públicos</t>
  </si>
  <si>
    <t>Telefone................................................................................</t>
  </si>
  <si>
    <t>Site........................................................................................</t>
  </si>
  <si>
    <t>Internet...............................................................................</t>
  </si>
  <si>
    <t>Total de Serviço de comunicação</t>
  </si>
  <si>
    <r>
      <rPr>
        <b/>
        <sz val="10"/>
        <rFont val="Arial"/>
        <family val="2"/>
      </rPr>
      <t>Frete e carretos</t>
    </r>
    <r>
      <rPr>
        <sz val="10"/>
        <rFont val="Arial"/>
        <family val="2"/>
      </rPr>
      <t>...................................................................</t>
    </r>
  </si>
  <si>
    <r>
      <rPr>
        <b/>
        <sz val="10"/>
        <rFont val="Arial"/>
        <family val="2"/>
      </rPr>
      <t>Treinamento de pessoal</t>
    </r>
    <r>
      <rPr>
        <sz val="10"/>
        <rFont val="Arial"/>
        <family val="2"/>
      </rPr>
      <t>............................................................................</t>
    </r>
  </si>
  <si>
    <r>
      <rPr>
        <b/>
        <sz val="10"/>
        <rFont val="Arial"/>
        <family val="2"/>
      </rPr>
      <t>Imposto Predial e Territorial Urbano (IPTU)</t>
    </r>
    <r>
      <rPr>
        <sz val="10"/>
        <rFont val="Arial"/>
        <family val="2"/>
      </rPr>
      <t>............................................................................</t>
    </r>
  </si>
  <si>
    <r>
      <rPr>
        <b/>
        <sz val="10"/>
        <rFont val="Arial"/>
        <family val="2"/>
      </rPr>
      <t>Taxa Bombeiros</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</si>
  <si>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</si>
  <si>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</si>
  <si>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lavagem de veículos.................................</t>
  </si>
  <si>
    <t>Serviços terceirizados de manutenção predial...........................</t>
  </si>
  <si>
    <t>Serviços terceirizados de despachante admnistrativos.........................</t>
  </si>
  <si>
    <t>Serviços terceirizados na área contábil...................................</t>
  </si>
  <si>
    <t>Serviços terceirizados na área de medicina do trabalho....................</t>
  </si>
  <si>
    <t>Serviços terceirizados na área jurídica..................................</t>
  </si>
  <si>
    <t>Serviços terceirizados na área de informática............................</t>
  </si>
  <si>
    <t>Serviços terceirizados na área de recursos humanos..................</t>
  </si>
  <si>
    <t>Total de Serviço terceirizados</t>
  </si>
  <si>
    <t>.</t>
  </si>
  <si>
    <r>
      <rPr>
        <b/>
        <sz val="10"/>
        <rFont val="Arial"/>
        <family val="2"/>
      </rPr>
      <t>Outros</t>
    </r>
    <r>
      <rPr>
        <sz val="10"/>
        <rFont val="Arial"/>
        <family val="2"/>
      </rPr>
      <t>..........................................................................................</t>
    </r>
  </si>
  <si>
    <t>Despesas Gerais</t>
  </si>
</sst>
</file>

<file path=xl/styles.xml><?xml version="1.0" encoding="utf-8"?>
<styleSheet xmlns="http://schemas.openxmlformats.org/spreadsheetml/2006/main">
  <numFmts count="40">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0"/>
    <numFmt numFmtId="172" formatCode="#,##0.00;\-#,##0.00"/>
    <numFmt numFmtId="173" formatCode="#,##0"/>
    <numFmt numFmtId="174" formatCode="#,##0.0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quot;R$ &quot;#,##0.00"/>
    <numFmt numFmtId="185" formatCode="0.00%"/>
    <numFmt numFmtId="186" formatCode="dd/mmm"/>
    <numFmt numFmtId="187" formatCode="#,##0.00000"/>
    <numFmt numFmtId="188" formatCode="_-&quot;R$ &quot;* #,##0.00_-;&quot;-R$ &quot;* #,##0.00_-;_-&quot;R$ &quot;* \-??_-;_-@_-"/>
    <numFmt numFmtId="189" formatCode="0.0%"/>
    <numFmt numFmtId="190" formatCode="General"/>
    <numFmt numFmtId="191" formatCode="0.00000"/>
    <numFmt numFmtId="192" formatCode="0.0000000000"/>
    <numFmt numFmtId="193" formatCode="#,##0.00000000_ ;\-#,##0.00000000\ "/>
    <numFmt numFmtId="194" formatCode="#,##0.000000_ ;\-#,##0.000000\ "/>
    <numFmt numFmtId="195" formatCode="#,##0.00000_ ;\-#,##0.00000\ "/>
    <numFmt numFmtId="196" formatCode="hh:mm"/>
    <numFmt numFmtId="197" formatCode="h:mm;@"/>
    <numFmt numFmtId="198" formatCode="0.000"/>
    <numFmt numFmtId="199" formatCode="#,##0.0000;\-#,##0.0000"/>
    <numFmt numFmtId="200" formatCode="0"/>
    <numFmt numFmtId="201" formatCode="#,##0.0"/>
    <numFmt numFmtId="202" formatCode="#,##0.00000;\-#,##0.00000"/>
    <numFmt numFmtId="203" formatCode="#,##0.000"/>
  </numFmts>
  <fonts count="70">
    <font>
      <sz val="10"/>
      <name val="Arial"/>
      <family val="0"/>
    </font>
    <font>
      <sz val="11"/>
      <color indexed="8"/>
      <name val="Calibri"/>
      <family val="2"/>
    </font>
    <font>
      <sz val="12"/>
      <name val="Calibri"/>
      <family val="2"/>
    </font>
    <font>
      <b/>
      <i/>
      <sz val="11"/>
      <name val="Calibri"/>
      <family val="2"/>
    </font>
    <font>
      <i/>
      <sz val="12"/>
      <name val="Calibri"/>
      <family val="2"/>
    </font>
    <font>
      <b/>
      <sz val="12"/>
      <name val="Calibri"/>
      <family val="2"/>
    </font>
    <font>
      <b/>
      <sz val="12"/>
      <color indexed="10"/>
      <name val="Calibri"/>
      <family val="2"/>
    </font>
    <font>
      <i/>
      <sz val="10"/>
      <color indexed="10"/>
      <name val="Arial"/>
      <family val="2"/>
    </font>
    <font>
      <sz val="11"/>
      <name val="Calibri"/>
      <family val="2"/>
    </font>
    <font>
      <b/>
      <sz val="11"/>
      <name val="Calibri"/>
      <family val="2"/>
    </font>
    <font>
      <i/>
      <sz val="11"/>
      <name val="Calibri"/>
      <family val="2"/>
    </font>
    <font>
      <b/>
      <sz val="11"/>
      <color indexed="8"/>
      <name val="Calibri"/>
      <family val="2"/>
    </font>
    <font>
      <b/>
      <i/>
      <sz val="11"/>
      <color indexed="8"/>
      <name val="Calibri"/>
      <family val="2"/>
    </font>
    <font>
      <b/>
      <i/>
      <sz val="11"/>
      <color indexed="9"/>
      <name val="Calibri"/>
      <family val="2"/>
    </font>
    <font>
      <b/>
      <sz val="11"/>
      <color indexed="9"/>
      <name val="Calibri"/>
      <family val="2"/>
    </font>
    <font>
      <b/>
      <i/>
      <vertAlign val="subscript"/>
      <sz val="11"/>
      <color indexed="8"/>
      <name val="Calibri"/>
      <family val="2"/>
    </font>
    <font>
      <b/>
      <sz val="18"/>
      <name val="Calibri"/>
      <family val="2"/>
    </font>
    <font>
      <b/>
      <vertAlign val="subscript"/>
      <sz val="11"/>
      <color indexed="8"/>
      <name val="Calibri"/>
      <family val="2"/>
    </font>
    <font>
      <sz val="10"/>
      <name val="Calibri"/>
      <family val="2"/>
    </font>
    <font>
      <b/>
      <i/>
      <sz val="10"/>
      <name val="Calibri"/>
      <family val="2"/>
    </font>
    <font>
      <b/>
      <sz val="10"/>
      <name val="Calibri"/>
      <family val="2"/>
    </font>
    <font>
      <b/>
      <sz val="10"/>
      <color indexed="9"/>
      <name val="Calibri"/>
      <family val="2"/>
    </font>
    <font>
      <b/>
      <i/>
      <sz val="10"/>
      <color indexed="9"/>
      <name val="Calibri"/>
      <family val="2"/>
    </font>
    <font>
      <b/>
      <sz val="12"/>
      <name val="Arial"/>
      <family val="2"/>
    </font>
    <font>
      <i/>
      <sz val="11"/>
      <color indexed="8"/>
      <name val="Calibri"/>
      <family val="2"/>
    </font>
    <font>
      <u val="single"/>
      <sz val="10"/>
      <color indexed="12"/>
      <name val="Arial"/>
      <family val="2"/>
    </font>
    <font>
      <b/>
      <i/>
      <sz val="16"/>
      <color indexed="9"/>
      <name val="Calibri"/>
      <family val="2"/>
    </font>
    <font>
      <b/>
      <i/>
      <sz val="16"/>
      <name val="Calibri"/>
      <family val="2"/>
    </font>
    <font>
      <b/>
      <sz val="16"/>
      <name val="Calibri"/>
      <family val="2"/>
    </font>
    <font>
      <b/>
      <i/>
      <sz val="8"/>
      <name val="Calibri"/>
      <family val="2"/>
    </font>
    <font>
      <b/>
      <sz val="16"/>
      <color indexed="9"/>
      <name val="Calibri"/>
      <family val="2"/>
    </font>
    <font>
      <b/>
      <sz val="16"/>
      <color indexed="8"/>
      <name val="Calibri"/>
      <family val="2"/>
    </font>
    <font>
      <b/>
      <i/>
      <sz val="10"/>
      <name val="Arial"/>
      <family val="2"/>
    </font>
    <font>
      <i/>
      <sz val="10"/>
      <name val="Arial"/>
      <family val="2"/>
    </font>
    <font>
      <sz val="10"/>
      <color indexed="10"/>
      <name val="Arial"/>
      <family val="2"/>
    </font>
    <font>
      <b/>
      <i/>
      <sz val="10"/>
      <color indexed="10"/>
      <name val="Arial"/>
      <family val="2"/>
    </font>
    <font>
      <b/>
      <sz val="10"/>
      <color indexed="10"/>
      <name val="Arial"/>
      <family val="2"/>
    </font>
    <font>
      <i/>
      <sz val="8"/>
      <name val="Arial"/>
      <family val="2"/>
    </font>
    <font>
      <b/>
      <sz val="9"/>
      <color indexed="8"/>
      <name val="Segoe UI"/>
      <family val="2"/>
    </font>
    <font>
      <b/>
      <sz val="10"/>
      <name val="Arial"/>
      <family val="2"/>
    </font>
    <font>
      <b/>
      <sz val="10"/>
      <color indexed="9"/>
      <name val="Arial"/>
      <family val="2"/>
    </font>
    <font>
      <sz val="10"/>
      <color indexed="9"/>
      <name val="Arial"/>
      <family val="2"/>
    </font>
    <font>
      <i/>
      <sz val="10"/>
      <name val="Calibri"/>
      <family val="2"/>
    </font>
    <font>
      <sz val="10"/>
      <color indexed="9"/>
      <name val="Calibri"/>
      <family val="2"/>
    </font>
    <font>
      <b/>
      <sz val="11"/>
      <color indexed="10"/>
      <name val="Calibri"/>
      <family val="2"/>
    </font>
    <font>
      <sz val="12"/>
      <name val="Arial"/>
      <family val="2"/>
    </font>
    <font>
      <b/>
      <i/>
      <vertAlign val="superscript"/>
      <sz val="12"/>
      <color indexed="9"/>
      <name val="Arial"/>
      <family val="2"/>
    </font>
    <font>
      <b/>
      <i/>
      <vertAlign val="subscript"/>
      <sz val="12"/>
      <color indexed="9"/>
      <name val="Arial"/>
      <family val="2"/>
    </font>
    <font>
      <b/>
      <vertAlign val="superscript"/>
      <sz val="12"/>
      <color indexed="9"/>
      <name val="Calibri"/>
      <family val="2"/>
    </font>
    <font>
      <b/>
      <sz val="12"/>
      <color indexed="9"/>
      <name val="Calibri"/>
      <family val="2"/>
    </font>
    <font>
      <sz val="10"/>
      <color indexed="10"/>
      <name val="Calibri"/>
      <family val="2"/>
    </font>
    <font>
      <b/>
      <i/>
      <sz val="12"/>
      <color indexed="9"/>
      <name val="Calibri"/>
      <family val="2"/>
    </font>
    <font>
      <b/>
      <i/>
      <sz val="12"/>
      <color indexed="9"/>
      <name val="Symbol"/>
      <family val="1"/>
    </font>
    <font>
      <i/>
      <sz val="8"/>
      <color indexed="8"/>
      <name val="Calibri"/>
      <family val="2"/>
    </font>
    <font>
      <b/>
      <sz val="8"/>
      <color indexed="9"/>
      <name val="Calibri"/>
      <family val="2"/>
    </font>
    <font>
      <b/>
      <sz val="9"/>
      <color indexed="9"/>
      <name val="Calibri"/>
      <family val="2"/>
    </font>
    <font>
      <b/>
      <sz val="12"/>
      <color indexed="8"/>
      <name val="Calibri"/>
      <family val="2"/>
    </font>
    <font>
      <b/>
      <i/>
      <sz val="12"/>
      <color indexed="9"/>
      <name val="Times New Roman"/>
      <family val="1"/>
    </font>
    <font>
      <b/>
      <sz val="12"/>
      <name val="Times New Roman"/>
      <family val="1"/>
    </font>
    <font>
      <b/>
      <sz val="12"/>
      <color indexed="9"/>
      <name val="Times New Roman"/>
      <family val="1"/>
    </font>
    <font>
      <sz val="11"/>
      <color indexed="9"/>
      <name val="Calibri"/>
      <family val="2"/>
    </font>
    <font>
      <sz val="10"/>
      <color indexed="8"/>
      <name val="Arial"/>
      <family val="2"/>
    </font>
    <font>
      <b/>
      <sz val="8"/>
      <name val="Arial"/>
      <family val="2"/>
    </font>
    <font>
      <sz val="7"/>
      <name val="Arial"/>
      <family val="2"/>
    </font>
    <font>
      <sz val="10"/>
      <color indexed="8"/>
      <name val="Calibri"/>
      <family val="2"/>
    </font>
    <font>
      <b/>
      <sz val="10"/>
      <color indexed="8"/>
      <name val="Calibri"/>
      <family val="2"/>
    </font>
    <font>
      <sz val="2.55"/>
      <color indexed="8"/>
      <name val="Calibri"/>
      <family val="2"/>
    </font>
    <font>
      <b/>
      <sz val="9"/>
      <color indexed="8"/>
      <name val="Calibri"/>
      <family val="2"/>
    </font>
    <font>
      <sz val="9"/>
      <color indexed="8"/>
      <name val="Calibri"/>
      <family val="2"/>
    </font>
    <font>
      <sz val="9"/>
      <color indexed="9"/>
      <name val="Calibri"/>
      <family val="2"/>
    </font>
  </fonts>
  <fills count="22">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30"/>
        <bgColor indexed="64"/>
      </patternFill>
    </fill>
    <fill>
      <patternFill patternType="solid">
        <fgColor indexed="18"/>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13"/>
        <bgColor indexed="64"/>
      </patternFill>
    </fill>
    <fill>
      <patternFill patternType="solid">
        <fgColor indexed="62"/>
        <bgColor indexed="64"/>
      </patternFill>
    </fill>
    <fill>
      <patternFill patternType="solid">
        <fgColor indexed="22"/>
        <bgColor indexed="64"/>
      </patternFill>
    </fill>
    <fill>
      <patternFill patternType="solid">
        <fgColor indexed="8"/>
        <bgColor indexed="64"/>
      </patternFill>
    </fill>
    <fill>
      <patternFill patternType="solid">
        <fgColor indexed="27"/>
        <bgColor indexed="64"/>
      </patternFill>
    </fill>
    <fill>
      <patternFill patternType="solid">
        <fgColor indexed="55"/>
        <bgColor indexed="64"/>
      </patternFill>
    </fill>
    <fill>
      <patternFill patternType="solid">
        <fgColor indexed="17"/>
        <bgColor indexed="64"/>
      </patternFill>
    </fill>
    <fill>
      <patternFill patternType="solid">
        <fgColor indexed="56"/>
        <bgColor indexed="64"/>
      </patternFill>
    </fill>
  </fills>
  <borders count="56">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medium">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color indexed="63"/>
      </bottom>
    </border>
    <border>
      <left>
        <color indexed="63"/>
      </left>
      <right style="thin">
        <color indexed="8"/>
      </right>
      <top style="medium">
        <color indexed="8"/>
      </top>
      <bottom style="medium">
        <color indexed="8"/>
      </bottom>
    </border>
  </borders>
  <cellStyleXfs count="9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25" fillId="0" borderId="0" applyNumberFormat="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cellStyleXfs>
  <cellXfs count="655">
    <xf numFmtId="164" fontId="0" fillId="0" borderId="0" xfId="0" applyAlignment="1">
      <alignment/>
    </xf>
    <xf numFmtId="164" fontId="2" fillId="0" borderId="0" xfId="0" applyFont="1" applyAlignment="1">
      <alignment/>
    </xf>
    <xf numFmtId="164" fontId="3" fillId="2" borderId="0" xfId="0" applyFont="1" applyFill="1" applyBorder="1" applyAlignment="1" applyProtection="1">
      <alignment horizontal="left"/>
      <protection/>
    </xf>
    <xf numFmtId="164" fontId="2" fillId="2" borderId="0" xfId="0" applyFont="1" applyFill="1" applyAlignment="1" applyProtection="1">
      <alignment/>
      <protection/>
    </xf>
    <xf numFmtId="164" fontId="4" fillId="2" borderId="0" xfId="0" applyFont="1" applyFill="1" applyAlignment="1" applyProtection="1">
      <alignment/>
      <protection/>
    </xf>
    <xf numFmtId="164" fontId="4" fillId="0" borderId="0" xfId="0" applyFont="1" applyAlignment="1">
      <alignment/>
    </xf>
    <xf numFmtId="164" fontId="4" fillId="3" borderId="1" xfId="0" applyFont="1" applyFill="1" applyBorder="1" applyAlignment="1" applyProtection="1">
      <alignment/>
      <protection/>
    </xf>
    <xf numFmtId="164" fontId="4" fillId="4" borderId="1" xfId="0" applyFont="1" applyFill="1" applyBorder="1" applyAlignment="1" applyProtection="1">
      <alignment/>
      <protection/>
    </xf>
    <xf numFmtId="164" fontId="4" fillId="5" borderId="1" xfId="0" applyFont="1" applyFill="1" applyBorder="1" applyAlignment="1" applyProtection="1">
      <alignment/>
      <protection/>
    </xf>
    <xf numFmtId="164" fontId="5" fillId="2" borderId="0" xfId="0" applyFont="1" applyFill="1" applyAlignment="1" applyProtection="1">
      <alignment/>
      <protection/>
    </xf>
    <xf numFmtId="164" fontId="6" fillId="2" borderId="0" xfId="0" applyFont="1" applyFill="1" applyAlignment="1" applyProtection="1">
      <alignment/>
      <protection/>
    </xf>
    <xf numFmtId="164" fontId="7" fillId="0" borderId="0" xfId="0" applyFont="1" applyFill="1" applyAlignment="1">
      <alignment horizontal="left" vertical="center"/>
    </xf>
    <xf numFmtId="164" fontId="8" fillId="0" borderId="0" xfId="0" applyFont="1" applyAlignment="1">
      <alignment/>
    </xf>
    <xf numFmtId="164" fontId="9" fillId="0" borderId="0" xfId="0" applyFont="1" applyBorder="1" applyAlignment="1">
      <alignment horizontal="left"/>
    </xf>
    <xf numFmtId="164" fontId="3" fillId="0" borderId="0" xfId="0" applyFont="1" applyAlignment="1">
      <alignment horizontal="left"/>
    </xf>
    <xf numFmtId="164" fontId="9" fillId="5" borderId="2" xfId="0" applyFont="1" applyFill="1" applyBorder="1" applyAlignment="1">
      <alignment horizontal="center" vertical="center"/>
    </xf>
    <xf numFmtId="164" fontId="9" fillId="0" borderId="0" xfId="0" applyFont="1" applyAlignment="1">
      <alignment horizontal="left"/>
    </xf>
    <xf numFmtId="164" fontId="8" fillId="0" borderId="3" xfId="0" applyFont="1" applyBorder="1" applyAlignment="1">
      <alignment/>
    </xf>
    <xf numFmtId="164" fontId="9" fillId="0" borderId="4" xfId="0" applyFont="1" applyBorder="1" applyAlignment="1">
      <alignment horizontal="center"/>
    </xf>
    <xf numFmtId="164" fontId="8" fillId="0" borderId="5" xfId="0" applyFont="1" applyBorder="1" applyAlignment="1">
      <alignment/>
    </xf>
    <xf numFmtId="164" fontId="8" fillId="0" borderId="6" xfId="0" applyFont="1" applyBorder="1" applyAlignment="1">
      <alignment/>
    </xf>
    <xf numFmtId="170" fontId="1" fillId="6" borderId="1" xfId="34" applyNumberFormat="1" applyFont="1" applyFill="1" applyBorder="1" applyAlignment="1">
      <alignment horizontal="center" vertical="center"/>
      <protection/>
    </xf>
    <xf numFmtId="164" fontId="10" fillId="0" borderId="0" xfId="0" applyFont="1" applyBorder="1" applyAlignment="1">
      <alignment vertical="center"/>
    </xf>
    <xf numFmtId="164" fontId="8" fillId="0" borderId="7" xfId="0" applyFont="1" applyBorder="1" applyAlignment="1">
      <alignment/>
    </xf>
    <xf numFmtId="164" fontId="11" fillId="3" borderId="8" xfId="34" applyFont="1" applyFill="1" applyBorder="1" applyAlignment="1">
      <alignment vertical="center"/>
      <protection/>
    </xf>
    <xf numFmtId="164" fontId="12" fillId="3" borderId="9" xfId="34" applyFont="1" applyFill="1" applyBorder="1" applyAlignment="1">
      <alignment vertical="center"/>
      <protection/>
    </xf>
    <xf numFmtId="171" fontId="1" fillId="6" borderId="1" xfId="72" applyNumberFormat="1" applyFont="1" applyFill="1" applyBorder="1" applyAlignment="1" applyProtection="1">
      <alignment horizontal="center" vertical="center"/>
      <protection locked="0"/>
    </xf>
    <xf numFmtId="172" fontId="1" fillId="4" borderId="1" xfId="72" applyNumberFormat="1" applyFont="1" applyFill="1" applyBorder="1" applyAlignment="1" applyProtection="1">
      <alignment horizontal="center" vertical="center"/>
      <protection/>
    </xf>
    <xf numFmtId="172" fontId="1" fillId="7" borderId="1" xfId="72" applyNumberFormat="1" applyFont="1" applyFill="1" applyBorder="1" applyAlignment="1" applyProtection="1">
      <alignment horizontal="center" vertical="center"/>
      <protection/>
    </xf>
    <xf numFmtId="164" fontId="8" fillId="0" borderId="10" xfId="0" applyFont="1" applyBorder="1" applyAlignment="1">
      <alignment/>
    </xf>
    <xf numFmtId="164" fontId="8" fillId="0" borderId="11" xfId="0" applyFont="1" applyBorder="1" applyAlignment="1">
      <alignment/>
    </xf>
    <xf numFmtId="164" fontId="8" fillId="0" borderId="12" xfId="0" applyFont="1" applyBorder="1" applyAlignment="1">
      <alignment/>
    </xf>
    <xf numFmtId="171" fontId="1" fillId="6" borderId="1" xfId="72" applyNumberFormat="1" applyFont="1" applyFill="1" applyBorder="1" applyAlignment="1" applyProtection="1">
      <alignment horizontal="center" vertical="center"/>
      <protection hidden="1" locked="0"/>
    </xf>
    <xf numFmtId="164" fontId="13" fillId="8" borderId="8" xfId="34" applyFont="1" applyFill="1" applyBorder="1" applyAlignment="1">
      <alignment vertical="center"/>
      <protection/>
    </xf>
    <xf numFmtId="164" fontId="13" fillId="8" borderId="9" xfId="34" applyFont="1" applyFill="1" applyBorder="1" applyAlignment="1">
      <alignment vertical="center"/>
      <protection/>
    </xf>
    <xf numFmtId="171" fontId="1" fillId="7" borderId="1" xfId="72" applyNumberFormat="1" applyFont="1" applyFill="1" applyBorder="1" applyAlignment="1" applyProtection="1">
      <alignment horizontal="center" vertical="center"/>
      <protection/>
    </xf>
    <xf numFmtId="164" fontId="9" fillId="0" borderId="0" xfId="0" applyFont="1" applyAlignment="1">
      <alignment/>
    </xf>
    <xf numFmtId="164" fontId="14" fillId="9" borderId="1" xfId="0" applyFont="1" applyFill="1" applyBorder="1" applyAlignment="1">
      <alignment horizontal="center"/>
    </xf>
    <xf numFmtId="164" fontId="12" fillId="3" borderId="1" xfId="34" applyFont="1" applyFill="1" applyBorder="1" applyAlignment="1">
      <alignment horizontal="center" vertical="center"/>
      <protection/>
    </xf>
    <xf numFmtId="172" fontId="1" fillId="6" borderId="1" xfId="72" applyNumberFormat="1" applyFont="1" applyFill="1" applyBorder="1" applyAlignment="1" applyProtection="1">
      <alignment horizontal="center" vertical="center"/>
      <protection/>
    </xf>
    <xf numFmtId="164" fontId="8" fillId="0" borderId="0" xfId="0" applyFont="1" applyAlignment="1">
      <alignment horizontal="center" vertical="center"/>
    </xf>
    <xf numFmtId="164" fontId="16" fillId="0" borderId="0" xfId="0" applyFont="1" applyAlignment="1">
      <alignment vertical="center" textRotation="90"/>
    </xf>
    <xf numFmtId="164" fontId="3" fillId="0" borderId="0" xfId="0" applyFont="1" applyAlignment="1">
      <alignment horizontal="left" vertical="center" wrapText="1"/>
    </xf>
    <xf numFmtId="164" fontId="3" fillId="3" borderId="1" xfId="0" applyFont="1" applyFill="1" applyBorder="1" applyAlignment="1">
      <alignment horizontal="right"/>
    </xf>
    <xf numFmtId="164" fontId="3" fillId="6" borderId="1" xfId="0" applyFont="1" applyFill="1" applyBorder="1" applyAlignment="1">
      <alignment horizontal="center" vertical="center" wrapText="1"/>
    </xf>
    <xf numFmtId="164" fontId="3" fillId="3" borderId="1" xfId="0" applyFont="1" applyFill="1" applyBorder="1" applyAlignment="1">
      <alignment horizontal="right" wrapText="1"/>
    </xf>
    <xf numFmtId="164" fontId="14" fillId="9" borderId="1" xfId="0" applyFont="1" applyFill="1" applyBorder="1" applyAlignment="1">
      <alignment horizontal="center" vertical="center" textRotation="90"/>
    </xf>
    <xf numFmtId="170" fontId="1" fillId="6" borderId="1" xfId="34" applyNumberFormat="1" applyFont="1" applyFill="1" applyBorder="1" applyAlignment="1">
      <alignment horizontal="left" vertical="center"/>
      <protection/>
    </xf>
    <xf numFmtId="164" fontId="3" fillId="0" borderId="0" xfId="0" applyFont="1" applyAlignment="1">
      <alignment/>
    </xf>
    <xf numFmtId="164" fontId="16" fillId="0" borderId="13" xfId="0" applyFont="1" applyBorder="1" applyAlignment="1">
      <alignment vertical="center" textRotation="90"/>
    </xf>
    <xf numFmtId="164" fontId="14" fillId="9" borderId="1" xfId="0" applyFont="1" applyFill="1" applyBorder="1" applyAlignment="1">
      <alignment horizontal="center" vertical="center" wrapText="1"/>
    </xf>
    <xf numFmtId="164" fontId="3" fillId="0" borderId="0" xfId="0" applyFont="1" applyBorder="1" applyAlignment="1">
      <alignment horizontal="left"/>
    </xf>
    <xf numFmtId="164" fontId="14" fillId="8" borderId="1" xfId="0" applyFont="1" applyFill="1" applyBorder="1" applyAlignment="1">
      <alignment horizontal="center"/>
    </xf>
    <xf numFmtId="164" fontId="11" fillId="7" borderId="1" xfId="34" applyFont="1" applyFill="1" applyBorder="1" applyAlignment="1">
      <alignment horizontal="center" vertical="center"/>
      <protection/>
    </xf>
    <xf numFmtId="172" fontId="1" fillId="5" borderId="1" xfId="72" applyNumberFormat="1" applyFont="1" applyFill="1" applyBorder="1" applyAlignment="1" applyProtection="1">
      <alignment horizontal="center" vertical="center"/>
      <protection/>
    </xf>
    <xf numFmtId="165" fontId="1" fillId="6" borderId="1" xfId="17" applyFont="1" applyFill="1" applyBorder="1" applyAlignment="1" applyProtection="1">
      <alignment horizontal="center" vertical="center"/>
      <protection/>
    </xf>
    <xf numFmtId="164" fontId="18" fillId="0" borderId="0" xfId="0" applyFont="1" applyAlignment="1">
      <alignment horizontal="center"/>
    </xf>
    <xf numFmtId="164" fontId="18" fillId="0" borderId="0" xfId="0" applyFont="1" applyAlignment="1">
      <alignment/>
    </xf>
    <xf numFmtId="164" fontId="19" fillId="0" borderId="0" xfId="0" applyFont="1" applyAlignment="1">
      <alignment horizontal="left"/>
    </xf>
    <xf numFmtId="164" fontId="9" fillId="5" borderId="14" xfId="0" applyFont="1" applyFill="1" applyBorder="1" applyAlignment="1">
      <alignment horizontal="center" vertical="center"/>
    </xf>
    <xf numFmtId="164" fontId="20" fillId="0" borderId="0" xfId="0" applyFont="1" applyAlignment="1">
      <alignment horizontal="left" vertical="center" wrapText="1"/>
    </xf>
    <xf numFmtId="164" fontId="19" fillId="3" borderId="1" xfId="0" applyFont="1" applyFill="1" applyBorder="1" applyAlignment="1">
      <alignment horizontal="left" vertical="center" wrapText="1"/>
    </xf>
    <xf numFmtId="164" fontId="19" fillId="6" borderId="1" xfId="0" applyFont="1" applyFill="1" applyBorder="1" applyAlignment="1">
      <alignment horizontal="center" vertical="center" wrapText="1"/>
    </xf>
    <xf numFmtId="164" fontId="18" fillId="0" borderId="0" xfId="0" applyFont="1" applyAlignment="1">
      <alignment horizontal="center" wrapText="1"/>
    </xf>
    <xf numFmtId="164" fontId="19" fillId="0" borderId="0" xfId="0" applyFont="1" applyAlignment="1">
      <alignment horizontal="left" wrapText="1"/>
    </xf>
    <xf numFmtId="164" fontId="18" fillId="0" borderId="0" xfId="0" applyFont="1" applyAlignment="1">
      <alignment wrapText="1"/>
    </xf>
    <xf numFmtId="164" fontId="19" fillId="3" borderId="1" xfId="0" applyFont="1" applyFill="1" applyBorder="1" applyAlignment="1">
      <alignment horizontal="right"/>
    </xf>
    <xf numFmtId="164" fontId="19" fillId="3" borderId="1" xfId="0" applyFont="1" applyFill="1" applyBorder="1" applyAlignment="1">
      <alignment horizontal="right" wrapText="1"/>
    </xf>
    <xf numFmtId="164" fontId="19" fillId="3" borderId="1" xfId="0" applyFont="1" applyFill="1" applyBorder="1" applyAlignment="1">
      <alignment horizontal="center"/>
    </xf>
    <xf numFmtId="173" fontId="19" fillId="6" borderId="8" xfId="36" applyNumberFormat="1" applyFont="1" applyFill="1" applyBorder="1" applyAlignment="1">
      <alignment vertical="center" wrapText="1"/>
      <protection/>
    </xf>
    <xf numFmtId="173" fontId="19" fillId="6" borderId="9" xfId="36" applyNumberFormat="1" applyFont="1" applyFill="1" applyBorder="1" applyAlignment="1">
      <alignment vertical="center" wrapText="1"/>
      <protection/>
    </xf>
    <xf numFmtId="174" fontId="19" fillId="0" borderId="0" xfId="0" applyNumberFormat="1" applyFont="1" applyAlignment="1">
      <alignment horizontal="left"/>
    </xf>
    <xf numFmtId="164" fontId="21" fillId="9" borderId="1" xfId="0" applyFont="1" applyFill="1" applyBorder="1" applyAlignment="1">
      <alignment horizontal="center" vertical="center" wrapText="1"/>
    </xf>
    <xf numFmtId="164" fontId="21" fillId="8" borderId="13" xfId="0" applyFont="1" applyFill="1" applyBorder="1" applyAlignment="1">
      <alignment horizontal="center" vertical="center" wrapText="1"/>
    </xf>
    <xf numFmtId="164" fontId="21" fillId="8" borderId="15" xfId="0" applyFont="1" applyFill="1" applyBorder="1" applyAlignment="1">
      <alignment horizontal="center" vertical="center" wrapText="1"/>
    </xf>
    <xf numFmtId="164" fontId="21" fillId="9" borderId="8" xfId="0" applyFont="1" applyFill="1" applyBorder="1" applyAlignment="1">
      <alignment horizontal="center" vertical="center" wrapText="1"/>
    </xf>
    <xf numFmtId="164" fontId="21" fillId="8" borderId="1" xfId="0" applyFont="1" applyFill="1" applyBorder="1" applyAlignment="1">
      <alignment horizontal="center" vertical="center" wrapText="1"/>
    </xf>
    <xf numFmtId="164" fontId="18" fillId="6" borderId="1" xfId="0" applyFont="1" applyFill="1" applyBorder="1" applyAlignment="1">
      <alignment horizontal="center"/>
    </xf>
    <xf numFmtId="164" fontId="0" fillId="6" borderId="1" xfId="0" applyFont="1" applyFill="1" applyBorder="1" applyAlignment="1" applyProtection="1">
      <alignment horizontal="center" wrapText="1"/>
      <protection locked="0"/>
    </xf>
    <xf numFmtId="164" fontId="0" fillId="6" borderId="1" xfId="0" applyFont="1" applyFill="1" applyBorder="1" applyAlignment="1" applyProtection="1">
      <alignment horizontal="center"/>
      <protection locked="0"/>
    </xf>
    <xf numFmtId="164" fontId="0" fillId="6" borderId="1" xfId="0" applyFont="1" applyFill="1" applyBorder="1" applyAlignment="1" applyProtection="1">
      <alignment horizontal="center" vertical="center"/>
      <protection locked="0"/>
    </xf>
    <xf numFmtId="164" fontId="0" fillId="6" borderId="8" xfId="0" applyFont="1" applyFill="1" applyBorder="1" applyAlignment="1" applyProtection="1">
      <alignment horizontal="center" vertical="center"/>
      <protection locked="0"/>
    </xf>
    <xf numFmtId="173" fontId="18" fillId="5" borderId="1" xfId="0" applyNumberFormat="1" applyFont="1" applyFill="1" applyBorder="1" applyAlignment="1">
      <alignment horizontal="center"/>
    </xf>
    <xf numFmtId="164" fontId="18" fillId="6" borderId="8" xfId="0" applyFont="1" applyFill="1" applyBorder="1" applyAlignment="1">
      <alignment horizontal="center"/>
    </xf>
    <xf numFmtId="173" fontId="23" fillId="5" borderId="1" xfId="0" applyNumberFormat="1" applyFont="1" applyFill="1" applyBorder="1" applyAlignment="1">
      <alignment horizontal="center" vertical="center"/>
    </xf>
    <xf numFmtId="173" fontId="18" fillId="0" borderId="0" xfId="0" applyNumberFormat="1" applyFont="1" applyAlignment="1">
      <alignment/>
    </xf>
    <xf numFmtId="172" fontId="11" fillId="10" borderId="1" xfId="72" applyNumberFormat="1" applyFont="1" applyFill="1" applyBorder="1" applyAlignment="1" applyProtection="1">
      <alignment horizontal="center" vertical="center"/>
      <protection/>
    </xf>
    <xf numFmtId="164" fontId="9" fillId="4" borderId="1" xfId="0" applyFont="1" applyFill="1" applyBorder="1" applyAlignment="1">
      <alignment horizontal="center"/>
    </xf>
    <xf numFmtId="164" fontId="12" fillId="4" borderId="8" xfId="34" applyFont="1" applyFill="1" applyBorder="1" applyAlignment="1">
      <alignment horizontal="left"/>
      <protection/>
    </xf>
    <xf numFmtId="164" fontId="8" fillId="11" borderId="1" xfId="0" applyFont="1" applyFill="1" applyBorder="1" applyAlignment="1">
      <alignment horizontal="center"/>
    </xf>
    <xf numFmtId="164" fontId="9" fillId="0" borderId="0" xfId="0" applyFont="1" applyAlignment="1">
      <alignment/>
    </xf>
    <xf numFmtId="164" fontId="14" fillId="9" borderId="8" xfId="34" applyFont="1" applyFill="1" applyBorder="1" applyAlignment="1">
      <alignment horizontal="center" vertical="center"/>
      <protection/>
    </xf>
    <xf numFmtId="164" fontId="14" fillId="9" borderId="1" xfId="34" applyFont="1" applyFill="1" applyBorder="1" applyAlignment="1">
      <alignment horizontal="center" vertical="center"/>
      <protection/>
    </xf>
    <xf numFmtId="164" fontId="24" fillId="3" borderId="8" xfId="34" applyFont="1" applyFill="1" applyBorder="1" applyAlignment="1">
      <alignment horizontal="left"/>
      <protection/>
    </xf>
    <xf numFmtId="175" fontId="1" fillId="6" borderId="1" xfId="72" applyNumberFormat="1" applyFont="1" applyFill="1" applyBorder="1" applyAlignment="1" applyProtection="1">
      <alignment horizontal="center" vertical="center"/>
      <protection/>
    </xf>
    <xf numFmtId="175" fontId="8" fillId="0" borderId="0" xfId="0" applyNumberFormat="1" applyFont="1" applyAlignment="1">
      <alignment/>
    </xf>
    <xf numFmtId="164" fontId="24" fillId="3" borderId="1" xfId="34" applyFont="1" applyFill="1" applyBorder="1" applyAlignment="1">
      <alignment horizontal="center" vertical="center"/>
      <protection/>
    </xf>
    <xf numFmtId="175" fontId="1" fillId="12" borderId="16" xfId="72" applyNumberFormat="1" applyFont="1" applyFill="1" applyBorder="1" applyAlignment="1" applyProtection="1">
      <alignment horizontal="center" vertical="center"/>
      <protection/>
    </xf>
    <xf numFmtId="175" fontId="1" fillId="12" borderId="1" xfId="72" applyNumberFormat="1" applyFont="1" applyFill="1" applyBorder="1" applyAlignment="1" applyProtection="1">
      <alignment horizontal="center" vertical="center"/>
      <protection/>
    </xf>
    <xf numFmtId="175" fontId="11" fillId="12" borderId="1" xfId="72" applyNumberFormat="1" applyFont="1" applyFill="1" applyBorder="1" applyAlignment="1" applyProtection="1">
      <alignment horizontal="center" vertical="center"/>
      <protection/>
    </xf>
    <xf numFmtId="175" fontId="11" fillId="6" borderId="1" xfId="72" applyNumberFormat="1" applyFont="1" applyFill="1" applyBorder="1" applyAlignment="1" applyProtection="1">
      <alignment horizontal="center" vertical="center"/>
      <protection locked="0"/>
    </xf>
    <xf numFmtId="164" fontId="24" fillId="3" borderId="1" xfId="34" applyFont="1" applyFill="1" applyBorder="1" applyAlignment="1">
      <alignment horizontal="left"/>
      <protection/>
    </xf>
    <xf numFmtId="164" fontId="3" fillId="0" borderId="0" xfId="0" applyFont="1" applyAlignment="1">
      <alignment vertical="center"/>
    </xf>
    <xf numFmtId="164" fontId="3" fillId="0" borderId="0" xfId="0" applyFont="1" applyAlignment="1">
      <alignment horizontal="right"/>
    </xf>
    <xf numFmtId="164" fontId="10" fillId="0" borderId="0" xfId="0" applyFont="1" applyAlignment="1">
      <alignment/>
    </xf>
    <xf numFmtId="164" fontId="10" fillId="0" borderId="0" xfId="0" applyFont="1" applyAlignment="1">
      <alignment horizontal="right"/>
    </xf>
    <xf numFmtId="164" fontId="24" fillId="0" borderId="0" xfId="34" applyFont="1">
      <alignment/>
      <protection/>
    </xf>
    <xf numFmtId="169" fontId="1" fillId="12" borderId="1" xfId="72" applyFont="1" applyFill="1" applyBorder="1" applyAlignment="1" applyProtection="1">
      <alignment/>
      <protection/>
    </xf>
    <xf numFmtId="169" fontId="11" fillId="7" borderId="1" xfId="72" applyFont="1" applyFill="1" applyBorder="1" applyAlignment="1" applyProtection="1">
      <alignment/>
      <protection/>
    </xf>
    <xf numFmtId="170" fontId="11" fillId="7" borderId="1" xfId="72" applyNumberFormat="1" applyFont="1" applyFill="1" applyBorder="1" applyAlignment="1" applyProtection="1">
      <alignment/>
      <protection/>
    </xf>
    <xf numFmtId="169" fontId="11" fillId="7" borderId="1" xfId="72" applyNumberFormat="1" applyFont="1" applyFill="1" applyBorder="1" applyAlignment="1" applyProtection="1">
      <alignment/>
      <protection/>
    </xf>
    <xf numFmtId="167" fontId="10" fillId="12" borderId="1" xfId="65" applyFont="1" applyFill="1" applyBorder="1" applyAlignment="1" applyProtection="1">
      <alignment/>
      <protection/>
    </xf>
    <xf numFmtId="167" fontId="10" fillId="12" borderId="1" xfId="53" applyFont="1" applyFill="1" applyBorder="1" applyAlignment="1" applyProtection="1">
      <alignment/>
      <protection/>
    </xf>
    <xf numFmtId="164" fontId="10" fillId="0" borderId="0" xfId="0" applyFont="1" applyAlignment="1">
      <alignment horizontal="left"/>
    </xf>
    <xf numFmtId="164" fontId="25" fillId="0" borderId="0" xfId="20" applyNumberFormat="1" applyFont="1" applyFill="1" applyBorder="1" applyAlignment="1" applyProtection="1">
      <alignment/>
      <protection/>
    </xf>
    <xf numFmtId="164" fontId="8" fillId="0" borderId="0" xfId="0" applyFont="1" applyFill="1" applyAlignment="1">
      <alignment/>
    </xf>
    <xf numFmtId="164" fontId="19" fillId="3" borderId="8" xfId="0" applyFont="1" applyFill="1" applyBorder="1" applyAlignment="1">
      <alignment/>
    </xf>
    <xf numFmtId="164" fontId="19" fillId="3" borderId="8" xfId="0" applyFont="1" applyFill="1" applyBorder="1" applyAlignment="1">
      <alignment wrapText="1"/>
    </xf>
    <xf numFmtId="164" fontId="14" fillId="8" borderId="8" xfId="34" applyFont="1" applyFill="1" applyBorder="1" applyAlignment="1">
      <alignment horizontal="center" vertical="center"/>
      <protection/>
    </xf>
    <xf numFmtId="164" fontId="14" fillId="8" borderId="1" xfId="34" applyFont="1" applyFill="1" applyBorder="1" applyAlignment="1">
      <alignment horizontal="center" vertical="center"/>
      <protection/>
    </xf>
    <xf numFmtId="164" fontId="24" fillId="7" borderId="8" xfId="34" applyFont="1" applyFill="1" applyBorder="1" applyAlignment="1">
      <alignment horizontal="left"/>
      <protection/>
    </xf>
    <xf numFmtId="176" fontId="1" fillId="5" borderId="1" xfId="15" applyNumberFormat="1" applyFont="1" applyFill="1" applyBorder="1" applyAlignment="1" applyProtection="1">
      <alignment horizontal="center" vertical="center"/>
      <protection/>
    </xf>
    <xf numFmtId="164" fontId="3" fillId="0" borderId="0" xfId="0" applyFont="1" applyAlignment="1">
      <alignment horizontal="center"/>
    </xf>
    <xf numFmtId="164" fontId="3" fillId="0" borderId="0" xfId="0" applyFont="1" applyAlignment="1">
      <alignment/>
    </xf>
    <xf numFmtId="164" fontId="7" fillId="0" borderId="0" xfId="0" applyFont="1" applyFill="1" applyAlignment="1">
      <alignment/>
    </xf>
    <xf numFmtId="174" fontId="1" fillId="5" borderId="1" xfId="15" applyNumberFormat="1" applyFont="1" applyFill="1" applyBorder="1" applyAlignment="1" applyProtection="1">
      <alignment horizontal="center" vertical="center"/>
      <protection/>
    </xf>
    <xf numFmtId="173" fontId="1" fillId="5" borderId="1" xfId="15" applyNumberFormat="1" applyFont="1" applyFill="1" applyBorder="1" applyAlignment="1" applyProtection="1">
      <alignment horizontal="center" vertical="center"/>
      <protection/>
    </xf>
    <xf numFmtId="164" fontId="26" fillId="8" borderId="1" xfId="0" applyFont="1" applyFill="1" applyBorder="1" applyAlignment="1">
      <alignment horizontal="left" vertical="center" wrapText="1"/>
    </xf>
    <xf numFmtId="173" fontId="27" fillId="5" borderId="1" xfId="0" applyNumberFormat="1" applyFont="1" applyFill="1" applyBorder="1" applyAlignment="1">
      <alignment vertical="center"/>
    </xf>
    <xf numFmtId="164" fontId="28" fillId="0" borderId="0" xfId="0" applyFont="1" applyBorder="1" applyAlignment="1">
      <alignment vertical="center"/>
    </xf>
    <xf numFmtId="173" fontId="8" fillId="0" borderId="0" xfId="0" applyNumberFormat="1" applyFont="1" applyAlignment="1">
      <alignment/>
    </xf>
    <xf numFmtId="164" fontId="8" fillId="0" borderId="0" xfId="0" applyFont="1" applyAlignment="1">
      <alignment horizontal="left"/>
    </xf>
    <xf numFmtId="177" fontId="1" fillId="6" borderId="1" xfId="72" applyNumberFormat="1" applyFont="1" applyFill="1" applyBorder="1" applyAlignment="1" applyProtection="1">
      <alignment horizontal="center" vertical="center"/>
      <protection/>
    </xf>
    <xf numFmtId="178" fontId="1" fillId="6" borderId="1" xfId="72" applyNumberFormat="1" applyFont="1" applyFill="1" applyBorder="1" applyAlignment="1" applyProtection="1">
      <alignment horizontal="center" vertical="center"/>
      <protection/>
    </xf>
    <xf numFmtId="164" fontId="24" fillId="7" borderId="1" xfId="34" applyFont="1" applyFill="1" applyBorder="1" applyAlignment="1">
      <alignment horizontal="left"/>
      <protection/>
    </xf>
    <xf numFmtId="177" fontId="1" fillId="13" borderId="1" xfId="72" applyNumberFormat="1" applyFont="1" applyFill="1" applyBorder="1" applyAlignment="1" applyProtection="1">
      <alignment horizontal="center" vertical="center"/>
      <protection/>
    </xf>
    <xf numFmtId="164" fontId="30" fillId="8" borderId="1" xfId="34" applyFont="1" applyFill="1" applyBorder="1" applyAlignment="1">
      <alignment horizontal="left" vertical="center" indent="14"/>
      <protection/>
    </xf>
    <xf numFmtId="179" fontId="31" fillId="5" borderId="1" xfId="72" applyNumberFormat="1" applyFont="1" applyFill="1" applyBorder="1" applyAlignment="1" applyProtection="1">
      <alignment horizontal="center" vertical="center"/>
      <protection/>
    </xf>
    <xf numFmtId="164" fontId="32" fillId="2" borderId="0" xfId="0" applyFont="1" applyFill="1" applyAlignment="1">
      <alignment horizontal="right"/>
    </xf>
    <xf numFmtId="164" fontId="33" fillId="2" borderId="0" xfId="0" applyFont="1" applyFill="1" applyAlignment="1">
      <alignment/>
    </xf>
    <xf numFmtId="164" fontId="0" fillId="2" borderId="0" xfId="0" applyFill="1" applyAlignment="1">
      <alignment/>
    </xf>
    <xf numFmtId="164" fontId="34" fillId="2" borderId="0" xfId="0" applyFont="1" applyFill="1" applyAlignment="1">
      <alignment/>
    </xf>
    <xf numFmtId="164" fontId="0" fillId="0" borderId="0" xfId="0" applyFont="1" applyAlignment="1">
      <alignment/>
    </xf>
    <xf numFmtId="164" fontId="32" fillId="2" borderId="0" xfId="0" applyFont="1" applyFill="1" applyAlignment="1">
      <alignment horizontal="left"/>
    </xf>
    <xf numFmtId="164" fontId="7" fillId="0" borderId="0" xfId="0" applyFont="1" applyFill="1" applyBorder="1" applyAlignment="1">
      <alignment horizontal="left" wrapText="1"/>
    </xf>
    <xf numFmtId="164" fontId="7" fillId="0" borderId="0" xfId="0" applyFont="1" applyFill="1" applyBorder="1" applyAlignment="1">
      <alignment/>
    </xf>
    <xf numFmtId="164" fontId="33" fillId="2" borderId="0" xfId="0" applyFont="1" applyFill="1" applyBorder="1" applyAlignment="1">
      <alignment/>
    </xf>
    <xf numFmtId="164" fontId="0" fillId="0" borderId="0" xfId="0" applyBorder="1" applyAlignment="1">
      <alignment/>
    </xf>
    <xf numFmtId="164" fontId="0" fillId="2" borderId="0" xfId="0" applyFill="1" applyBorder="1" applyAlignment="1">
      <alignment/>
    </xf>
    <xf numFmtId="164" fontId="34" fillId="2" borderId="0" xfId="0" applyFont="1" applyFill="1" applyBorder="1" applyAlignment="1">
      <alignment/>
    </xf>
    <xf numFmtId="164" fontId="36" fillId="2" borderId="0" xfId="0" applyFont="1" applyFill="1" applyAlignment="1">
      <alignment horizontal="left"/>
    </xf>
    <xf numFmtId="164" fontId="33" fillId="2" borderId="0" xfId="0" applyFont="1" applyFill="1" applyBorder="1" applyAlignment="1">
      <alignment horizontal="left"/>
    </xf>
    <xf numFmtId="164" fontId="33" fillId="2" borderId="0" xfId="0" applyFont="1" applyFill="1" applyAlignment="1">
      <alignment horizontal="left"/>
    </xf>
    <xf numFmtId="164" fontId="33" fillId="2" borderId="0" xfId="0" applyFont="1" applyFill="1" applyAlignment="1">
      <alignment horizontal="right"/>
    </xf>
    <xf numFmtId="164" fontId="33" fillId="2" borderId="17" xfId="0" applyFont="1" applyFill="1" applyBorder="1" applyAlignment="1">
      <alignment horizontal="left"/>
    </xf>
    <xf numFmtId="169" fontId="1" fillId="12" borderId="1" xfId="72" applyNumberFormat="1" applyFont="1" applyFill="1" applyBorder="1" applyAlignment="1" applyProtection="1">
      <alignment/>
      <protection/>
    </xf>
    <xf numFmtId="164" fontId="8" fillId="2" borderId="0" xfId="0" applyFont="1" applyFill="1" applyAlignment="1">
      <alignment/>
    </xf>
    <xf numFmtId="164" fontId="10" fillId="2" borderId="0" xfId="0" applyFont="1" applyFill="1" applyAlignment="1">
      <alignment/>
    </xf>
    <xf numFmtId="164" fontId="7" fillId="2" borderId="0" xfId="0" applyFont="1" applyFill="1" applyAlignment="1">
      <alignment/>
    </xf>
    <xf numFmtId="164" fontId="33" fillId="2" borderId="0" xfId="0" applyFont="1" applyFill="1" applyAlignment="1">
      <alignment horizontal="right" vertical="center"/>
    </xf>
    <xf numFmtId="164" fontId="33" fillId="2" borderId="17" xfId="0" applyFont="1" applyFill="1" applyBorder="1" applyAlignment="1">
      <alignment horizontal="left" vertical="center" wrapText="1"/>
    </xf>
    <xf numFmtId="180" fontId="1" fillId="4" borderId="1" xfId="72" applyNumberFormat="1" applyFont="1" applyFill="1" applyBorder="1" applyAlignment="1" applyProtection="1">
      <alignment vertical="center"/>
      <protection locked="0"/>
    </xf>
    <xf numFmtId="164" fontId="8" fillId="2" borderId="0" xfId="0" applyFont="1" applyFill="1" applyAlignment="1">
      <alignment vertical="center"/>
    </xf>
    <xf numFmtId="164" fontId="10" fillId="2" borderId="0" xfId="0" applyFont="1" applyFill="1" applyAlignment="1">
      <alignment vertical="center"/>
    </xf>
    <xf numFmtId="164" fontId="25" fillId="2" borderId="2" xfId="20" applyNumberFormat="1" applyFont="1" applyFill="1" applyBorder="1" applyAlignment="1" applyProtection="1">
      <alignment horizontal="left" vertical="center"/>
      <protection/>
    </xf>
    <xf numFmtId="164" fontId="7" fillId="2" borderId="0" xfId="0" applyFont="1" applyFill="1" applyAlignment="1">
      <alignment horizontal="left"/>
    </xf>
    <xf numFmtId="180" fontId="1" fillId="12" borderId="1" xfId="72" applyNumberFormat="1" applyFont="1" applyFill="1" applyBorder="1" applyAlignment="1" applyProtection="1">
      <alignment/>
      <protection/>
    </xf>
    <xf numFmtId="181" fontId="1" fillId="4" borderId="1" xfId="72" applyNumberFormat="1" applyFont="1" applyFill="1" applyBorder="1" applyAlignment="1" applyProtection="1">
      <alignment vertical="center"/>
      <protection/>
    </xf>
    <xf numFmtId="164" fontId="7" fillId="2" borderId="0" xfId="0" applyFont="1" applyFill="1" applyAlignment="1">
      <alignment horizontal="left" vertical="center"/>
    </xf>
    <xf numFmtId="164" fontId="33" fillId="2" borderId="0" xfId="0" applyFont="1" applyFill="1" applyBorder="1" applyAlignment="1">
      <alignment horizontal="right" vertical="center"/>
    </xf>
    <xf numFmtId="164" fontId="33" fillId="2" borderId="0" xfId="0" applyFont="1" applyFill="1" applyBorder="1" applyAlignment="1">
      <alignment horizontal="left" vertical="center"/>
    </xf>
    <xf numFmtId="169" fontId="1" fillId="12" borderId="1" xfId="72" applyFont="1" applyFill="1" applyBorder="1" applyAlignment="1" applyProtection="1">
      <alignment/>
      <protection locked="0"/>
    </xf>
    <xf numFmtId="169" fontId="1" fillId="14" borderId="1" xfId="72" applyFont="1" applyFill="1" applyBorder="1" applyAlignment="1" applyProtection="1">
      <alignment/>
      <protection locked="0"/>
    </xf>
    <xf numFmtId="164" fontId="33" fillId="2" borderId="0" xfId="0" applyFont="1" applyFill="1" applyBorder="1" applyAlignment="1">
      <alignment horizontal="center" vertical="center"/>
    </xf>
    <xf numFmtId="182" fontId="1" fillId="4" borderId="1" xfId="72" applyNumberFormat="1" applyFont="1" applyFill="1" applyBorder="1" applyAlignment="1" applyProtection="1">
      <alignment vertical="center"/>
      <protection locked="0"/>
    </xf>
    <xf numFmtId="179" fontId="1" fillId="7" borderId="1" xfId="72" applyNumberFormat="1" applyFont="1" applyFill="1" applyBorder="1" applyAlignment="1" applyProtection="1">
      <alignment/>
      <protection/>
    </xf>
    <xf numFmtId="169" fontId="0" fillId="0" borderId="0" xfId="0" applyNumberFormat="1" applyAlignment="1">
      <alignment/>
    </xf>
    <xf numFmtId="169" fontId="1" fillId="4" borderId="1" xfId="72" applyFont="1" applyFill="1" applyBorder="1" applyAlignment="1" applyProtection="1">
      <alignment/>
      <protection locked="0"/>
    </xf>
    <xf numFmtId="180" fontId="1" fillId="4" borderId="1" xfId="72" applyNumberFormat="1" applyFont="1" applyFill="1" applyBorder="1" applyAlignment="1" applyProtection="1">
      <alignment/>
      <protection locked="0"/>
    </xf>
    <xf numFmtId="168" fontId="1" fillId="12" borderId="1" xfId="71" applyFont="1" applyFill="1" applyBorder="1" applyAlignment="1" applyProtection="1">
      <alignment/>
      <protection locked="0"/>
    </xf>
    <xf numFmtId="164" fontId="32" fillId="2" borderId="0" xfId="0" applyFont="1" applyFill="1" applyAlignment="1">
      <alignment horizontal="right" vertical="center"/>
    </xf>
    <xf numFmtId="164" fontId="33" fillId="2" borderId="0" xfId="0" applyFont="1" applyFill="1" applyAlignment="1">
      <alignment vertical="center"/>
    </xf>
    <xf numFmtId="168" fontId="1" fillId="4" borderId="1" xfId="71" applyNumberFormat="1" applyFont="1" applyFill="1" applyBorder="1" applyAlignment="1" applyProtection="1">
      <alignment vertical="center"/>
      <protection locked="0"/>
    </xf>
    <xf numFmtId="164" fontId="0" fillId="2" borderId="0" xfId="0" applyFill="1" applyAlignment="1">
      <alignment vertical="center"/>
    </xf>
    <xf numFmtId="164" fontId="0" fillId="0" borderId="0" xfId="0" applyAlignment="1">
      <alignment vertical="center"/>
    </xf>
    <xf numFmtId="169" fontId="1" fillId="12" borderId="1" xfId="72" applyFont="1" applyFill="1" applyBorder="1" applyAlignment="1" applyProtection="1">
      <alignment vertical="center"/>
      <protection/>
    </xf>
    <xf numFmtId="164" fontId="7" fillId="2" borderId="0" xfId="0" applyFont="1" applyFill="1" applyAlignment="1">
      <alignment vertical="center"/>
    </xf>
    <xf numFmtId="183" fontId="0" fillId="0" borderId="0" xfId="0" applyNumberFormat="1" applyAlignment="1">
      <alignment/>
    </xf>
    <xf numFmtId="168" fontId="1" fillId="7" borderId="1" xfId="15" applyFont="1" applyFill="1" applyBorder="1" applyAlignment="1" applyProtection="1">
      <alignment/>
      <protection/>
    </xf>
    <xf numFmtId="164" fontId="33" fillId="2" borderId="0" xfId="0" applyFont="1" applyFill="1" applyAlignment="1">
      <alignment horizontal="left" vertical="center"/>
    </xf>
    <xf numFmtId="164" fontId="33" fillId="2" borderId="0" xfId="0" applyFont="1" applyFill="1" applyBorder="1" applyAlignment="1">
      <alignment horizontal="left" vertical="center" wrapText="1"/>
    </xf>
    <xf numFmtId="169" fontId="1" fillId="4" borderId="1" xfId="72" applyFont="1" applyFill="1" applyBorder="1" applyAlignment="1" applyProtection="1">
      <alignment/>
      <protection/>
    </xf>
    <xf numFmtId="170" fontId="1" fillId="12" borderId="1" xfId="72" applyNumberFormat="1" applyFont="1" applyFill="1" applyBorder="1" applyAlignment="1" applyProtection="1">
      <alignment vertical="center"/>
      <protection/>
    </xf>
    <xf numFmtId="168" fontId="1" fillId="4" borderId="1" xfId="15" applyNumberFormat="1" applyFont="1" applyFill="1" applyBorder="1" applyAlignment="1" applyProtection="1">
      <alignment vertical="center"/>
      <protection/>
    </xf>
    <xf numFmtId="183" fontId="1" fillId="12" borderId="1" xfId="19" applyNumberFormat="1" applyFont="1" applyFill="1" applyBorder="1" applyAlignment="1" applyProtection="1">
      <alignment vertical="center"/>
      <protection/>
    </xf>
    <xf numFmtId="164" fontId="33" fillId="2" borderId="17" xfId="0" applyFont="1" applyFill="1" applyBorder="1" applyAlignment="1">
      <alignment horizontal="left" vertical="center"/>
    </xf>
    <xf numFmtId="168" fontId="1" fillId="12" borderId="1" xfId="15" applyFont="1" applyFill="1" applyBorder="1" applyAlignment="1" applyProtection="1">
      <alignment vertical="center"/>
      <protection/>
    </xf>
    <xf numFmtId="164" fontId="39" fillId="0" borderId="0" xfId="0" applyFont="1" applyFill="1" applyAlignment="1">
      <alignment/>
    </xf>
    <xf numFmtId="164" fontId="33" fillId="0" borderId="0" xfId="0" applyFont="1" applyFill="1" applyAlignment="1">
      <alignment/>
    </xf>
    <xf numFmtId="164" fontId="0" fillId="0" borderId="0" xfId="0" applyFill="1" applyAlignment="1">
      <alignment horizontal="center"/>
    </xf>
    <xf numFmtId="164" fontId="0" fillId="0" borderId="0" xfId="0" applyFill="1" applyAlignment="1">
      <alignment/>
    </xf>
    <xf numFmtId="164" fontId="32" fillId="0" borderId="0" xfId="0" applyFont="1" applyFill="1" applyAlignment="1">
      <alignment/>
    </xf>
    <xf numFmtId="164" fontId="40" fillId="8" borderId="8" xfId="0" applyFont="1" applyFill="1" applyBorder="1" applyAlignment="1">
      <alignment horizontal="center"/>
    </xf>
    <xf numFmtId="169" fontId="40" fillId="8" borderId="9" xfId="0" applyNumberFormat="1" applyFont="1" applyFill="1" applyBorder="1" applyAlignment="1">
      <alignment/>
    </xf>
    <xf numFmtId="169" fontId="0" fillId="0" borderId="0" xfId="0" applyNumberFormat="1" applyFont="1" applyFill="1" applyAlignment="1">
      <alignment/>
    </xf>
    <xf numFmtId="164" fontId="33" fillId="0" borderId="0" xfId="0" applyFont="1" applyFill="1" applyBorder="1" applyAlignment="1">
      <alignment/>
    </xf>
    <xf numFmtId="164" fontId="0" fillId="5" borderId="8" xfId="0" applyFont="1" applyFill="1" applyBorder="1" applyAlignment="1">
      <alignment horizontal="center"/>
    </xf>
    <xf numFmtId="169" fontId="0" fillId="5" borderId="9" xfId="0" applyNumberFormat="1" applyFill="1" applyBorder="1" applyAlignment="1">
      <alignment/>
    </xf>
    <xf numFmtId="167" fontId="0" fillId="0" borderId="0" xfId="19" applyFont="1" applyFill="1" applyBorder="1" applyAlignment="1" applyProtection="1">
      <alignment/>
      <protection/>
    </xf>
    <xf numFmtId="184" fontId="0" fillId="0" borderId="0" xfId="17" applyNumberFormat="1" applyFont="1" applyFill="1" applyBorder="1" applyAlignment="1" applyProtection="1">
      <alignment/>
      <protection/>
    </xf>
    <xf numFmtId="185" fontId="0" fillId="0" borderId="0" xfId="19" applyNumberFormat="1" applyFont="1" applyFill="1" applyBorder="1" applyAlignment="1" applyProtection="1">
      <alignment/>
      <protection/>
    </xf>
    <xf numFmtId="184" fontId="0" fillId="0" borderId="0" xfId="0" applyNumberFormat="1" applyFill="1" applyAlignment="1">
      <alignment/>
    </xf>
    <xf numFmtId="164" fontId="0" fillId="0" borderId="0" xfId="0" applyNumberFormat="1" applyFill="1" applyAlignment="1">
      <alignment/>
    </xf>
    <xf numFmtId="186" fontId="0" fillId="0" borderId="0" xfId="0" applyNumberFormat="1" applyFill="1" applyAlignment="1">
      <alignment/>
    </xf>
    <xf numFmtId="174" fontId="0" fillId="0" borderId="0" xfId="0" applyNumberFormat="1" applyFill="1" applyAlignment="1">
      <alignment/>
    </xf>
    <xf numFmtId="164" fontId="32" fillId="0" borderId="0" xfId="0" applyFont="1" applyFill="1" applyBorder="1" applyAlignment="1">
      <alignment horizontal="left"/>
    </xf>
    <xf numFmtId="164" fontId="40" fillId="8" borderId="18" xfId="0" applyFont="1" applyFill="1" applyBorder="1" applyAlignment="1">
      <alignment horizontal="center"/>
    </xf>
    <xf numFmtId="164" fontId="40" fillId="8" borderId="19" xfId="0" applyFont="1" applyFill="1" applyBorder="1" applyAlignment="1">
      <alignment horizontal="center"/>
    </xf>
    <xf numFmtId="174" fontId="40" fillId="8" borderId="9" xfId="0" applyNumberFormat="1" applyFont="1" applyFill="1" applyBorder="1" applyAlignment="1">
      <alignment/>
    </xf>
    <xf numFmtId="164" fontId="32" fillId="0" borderId="0" xfId="0" applyFont="1" applyFill="1" applyAlignment="1">
      <alignment horizontal="right"/>
    </xf>
    <xf numFmtId="164" fontId="32" fillId="0" borderId="17" xfId="0" applyFont="1" applyFill="1" applyBorder="1" applyAlignment="1">
      <alignment horizontal="left"/>
    </xf>
    <xf numFmtId="164" fontId="40" fillId="15" borderId="18" xfId="0" applyFont="1" applyFill="1" applyBorder="1" applyAlignment="1">
      <alignment horizontal="center"/>
    </xf>
    <xf numFmtId="164" fontId="40" fillId="15" borderId="19" xfId="0" applyFont="1" applyFill="1" applyBorder="1" applyAlignment="1">
      <alignment horizontal="center"/>
    </xf>
    <xf numFmtId="174" fontId="40" fillId="15" borderId="9" xfId="0" applyNumberFormat="1" applyFont="1" applyFill="1" applyBorder="1" applyAlignment="1">
      <alignment/>
    </xf>
    <xf numFmtId="164" fontId="0" fillId="5" borderId="20" xfId="0" applyFont="1" applyFill="1" applyBorder="1" applyAlignment="1">
      <alignment horizontal="center"/>
    </xf>
    <xf numFmtId="164" fontId="0" fillId="5" borderId="19" xfId="0" applyFont="1" applyFill="1" applyBorder="1" applyAlignment="1">
      <alignment horizontal="center"/>
    </xf>
    <xf numFmtId="174" fontId="0" fillId="5" borderId="9" xfId="0" applyNumberFormat="1" applyFill="1" applyBorder="1" applyAlignment="1">
      <alignment/>
    </xf>
    <xf numFmtId="164" fontId="0" fillId="5" borderId="21" xfId="0" applyFont="1" applyFill="1" applyBorder="1" applyAlignment="1">
      <alignment horizontal="center"/>
    </xf>
    <xf numFmtId="164" fontId="0" fillId="5" borderId="16" xfId="0" applyFont="1" applyFill="1" applyBorder="1" applyAlignment="1">
      <alignment horizontal="center"/>
    </xf>
    <xf numFmtId="164" fontId="0" fillId="0" borderId="0" xfId="0" applyFont="1" applyFill="1" applyAlignment="1">
      <alignment horizontal="center"/>
    </xf>
    <xf numFmtId="174" fontId="40" fillId="15" borderId="19" xfId="0" applyNumberFormat="1" applyFont="1" applyFill="1" applyBorder="1" applyAlignment="1">
      <alignment/>
    </xf>
    <xf numFmtId="165" fontId="0" fillId="0" borderId="0" xfId="17" applyFont="1" applyFill="1" applyBorder="1" applyAlignment="1" applyProtection="1">
      <alignment/>
      <protection/>
    </xf>
    <xf numFmtId="185" fontId="0" fillId="0" borderId="0" xfId="0" applyNumberFormat="1" applyFill="1" applyAlignment="1">
      <alignment/>
    </xf>
    <xf numFmtId="168" fontId="0" fillId="0" borderId="0" xfId="15" applyFont="1" applyFill="1" applyBorder="1" applyAlignment="1" applyProtection="1">
      <alignment/>
      <protection/>
    </xf>
    <xf numFmtId="164" fontId="0" fillId="0" borderId="0" xfId="0" applyFill="1" applyAlignment="1">
      <alignment vertical="center"/>
    </xf>
    <xf numFmtId="164" fontId="40" fillId="15" borderId="8" xfId="0" applyFont="1" applyFill="1" applyBorder="1" applyAlignment="1">
      <alignment horizontal="center"/>
    </xf>
    <xf numFmtId="164" fontId="32" fillId="0" borderId="0" xfId="0" applyFont="1" applyFill="1" applyAlignment="1">
      <alignment horizontal="right" vertical="center"/>
    </xf>
    <xf numFmtId="164" fontId="32" fillId="0" borderId="0" xfId="0" applyFont="1" applyFill="1" applyAlignment="1">
      <alignment horizontal="left" vertical="center"/>
    </xf>
    <xf numFmtId="164" fontId="33" fillId="0" borderId="0" xfId="0" applyFont="1" applyFill="1" applyAlignment="1">
      <alignment vertical="center"/>
    </xf>
    <xf numFmtId="164" fontId="32" fillId="0" borderId="0" xfId="0" applyFont="1" applyFill="1" applyAlignment="1">
      <alignment vertical="center"/>
    </xf>
    <xf numFmtId="187" fontId="40" fillId="8" borderId="9" xfId="0" applyNumberFormat="1" applyFont="1" applyFill="1" applyBorder="1" applyAlignment="1">
      <alignment/>
    </xf>
    <xf numFmtId="188" fontId="0" fillId="0" borderId="0" xfId="0" applyNumberFormat="1" applyFill="1" applyAlignment="1">
      <alignment/>
    </xf>
    <xf numFmtId="174" fontId="40" fillId="15" borderId="9" xfId="0" applyNumberFormat="1" applyFont="1" applyFill="1" applyBorder="1" applyAlignment="1" applyProtection="1">
      <alignment/>
      <protection/>
    </xf>
    <xf numFmtId="173" fontId="40" fillId="15" borderId="9" xfId="0" applyNumberFormat="1" applyFont="1" applyFill="1" applyBorder="1" applyAlignment="1">
      <alignment/>
    </xf>
    <xf numFmtId="169" fontId="0" fillId="0" borderId="0" xfId="0" applyNumberFormat="1" applyFill="1" applyAlignment="1">
      <alignment/>
    </xf>
    <xf numFmtId="164" fontId="33" fillId="0" borderId="0" xfId="0" applyFont="1" applyFill="1" applyAlignment="1">
      <alignment horizontal="right"/>
    </xf>
    <xf numFmtId="185" fontId="40" fillId="15" borderId="9" xfId="19" applyNumberFormat="1" applyFont="1" applyFill="1" applyBorder="1" applyAlignment="1" applyProtection="1">
      <alignment/>
      <protection/>
    </xf>
    <xf numFmtId="164" fontId="41" fillId="0" borderId="0" xfId="0" applyFont="1" applyAlignment="1">
      <alignment/>
    </xf>
    <xf numFmtId="164" fontId="41" fillId="2" borderId="0" xfId="0" applyFont="1" applyFill="1" applyAlignment="1">
      <alignment/>
    </xf>
    <xf numFmtId="164" fontId="20" fillId="2" borderId="1" xfId="0" applyFont="1" applyFill="1" applyBorder="1" applyAlignment="1">
      <alignment horizontal="center"/>
    </xf>
    <xf numFmtId="189" fontId="41" fillId="2" borderId="0" xfId="19" applyNumberFormat="1" applyFont="1" applyFill="1" applyBorder="1" applyAlignment="1" applyProtection="1">
      <alignment/>
      <protection/>
    </xf>
    <xf numFmtId="164" fontId="18" fillId="2" borderId="0" xfId="0" applyFont="1" applyFill="1" applyAlignment="1">
      <alignment/>
    </xf>
    <xf numFmtId="164" fontId="20" fillId="2" borderId="8" xfId="0" applyFont="1" applyFill="1" applyBorder="1" applyAlignment="1">
      <alignment horizontal="center"/>
    </xf>
    <xf numFmtId="164" fontId="18" fillId="0" borderId="1" xfId="0" applyFont="1" applyBorder="1" applyAlignment="1">
      <alignment horizontal="center"/>
    </xf>
    <xf numFmtId="164" fontId="18" fillId="0" borderId="8" xfId="0" applyFont="1" applyBorder="1" applyAlignment="1">
      <alignment horizontal="center"/>
    </xf>
    <xf numFmtId="164" fontId="20" fillId="16" borderId="18" xfId="0" applyFont="1" applyFill="1" applyBorder="1" applyAlignment="1">
      <alignment/>
    </xf>
    <xf numFmtId="164" fontId="18" fillId="16" borderId="22" xfId="0" applyFont="1" applyFill="1" applyBorder="1" applyAlignment="1">
      <alignment/>
    </xf>
    <xf numFmtId="189" fontId="41" fillId="2" borderId="21" xfId="19" applyNumberFormat="1" applyFont="1" applyFill="1" applyBorder="1" applyAlignment="1" applyProtection="1">
      <alignment/>
      <protection/>
    </xf>
    <xf numFmtId="164" fontId="18" fillId="16" borderId="13" xfId="0" applyFont="1" applyFill="1" applyBorder="1" applyAlignment="1">
      <alignment horizontal="left"/>
    </xf>
    <xf numFmtId="165" fontId="18" fillId="16" borderId="0" xfId="17" applyFont="1" applyFill="1" applyBorder="1" applyAlignment="1" applyProtection="1">
      <alignment/>
      <protection/>
    </xf>
    <xf numFmtId="185" fontId="18" fillId="16" borderId="0" xfId="19" applyNumberFormat="1" applyFont="1" applyFill="1" applyBorder="1" applyAlignment="1" applyProtection="1">
      <alignment/>
      <protection/>
    </xf>
    <xf numFmtId="189" fontId="41" fillId="17" borderId="21" xfId="19" applyNumberFormat="1" applyFont="1" applyFill="1" applyBorder="1" applyAlignment="1" applyProtection="1">
      <alignment/>
      <protection/>
    </xf>
    <xf numFmtId="164" fontId="18" fillId="16" borderId="15" xfId="0" applyFont="1" applyFill="1" applyBorder="1" applyAlignment="1">
      <alignment horizontal="left"/>
    </xf>
    <xf numFmtId="165" fontId="18" fillId="16" borderId="23" xfId="17" applyFont="1" applyFill="1" applyBorder="1" applyAlignment="1" applyProtection="1">
      <alignment/>
      <protection/>
    </xf>
    <xf numFmtId="185" fontId="18" fillId="16" borderId="23" xfId="19" applyNumberFormat="1" applyFont="1" applyFill="1" applyBorder="1" applyAlignment="1" applyProtection="1">
      <alignment/>
      <protection/>
    </xf>
    <xf numFmtId="164" fontId="20" fillId="16" borderId="1" xfId="0" applyFont="1" applyFill="1" applyBorder="1" applyAlignment="1">
      <alignment horizontal="right"/>
    </xf>
    <xf numFmtId="165" fontId="18" fillId="16" borderId="1" xfId="17" applyFont="1" applyFill="1" applyBorder="1" applyAlignment="1" applyProtection="1">
      <alignment/>
      <protection/>
    </xf>
    <xf numFmtId="167" fontId="18" fillId="16" borderId="8" xfId="19" applyFont="1" applyFill="1" applyBorder="1" applyAlignment="1" applyProtection="1">
      <alignment/>
      <protection/>
    </xf>
    <xf numFmtId="164" fontId="20" fillId="16" borderId="13" xfId="0" applyFont="1" applyFill="1" applyBorder="1" applyAlignment="1">
      <alignment/>
    </xf>
    <xf numFmtId="164" fontId="18" fillId="16" borderId="0" xfId="0" applyFont="1" applyFill="1" applyBorder="1" applyAlignment="1">
      <alignment/>
    </xf>
    <xf numFmtId="164" fontId="20" fillId="16" borderId="13" xfId="0" applyFont="1" applyFill="1" applyBorder="1" applyAlignment="1">
      <alignment horizontal="right"/>
    </xf>
    <xf numFmtId="165" fontId="20" fillId="16" borderId="0" xfId="17" applyFont="1" applyFill="1" applyBorder="1" applyAlignment="1" applyProtection="1">
      <alignment horizontal="right"/>
      <protection/>
    </xf>
    <xf numFmtId="185" fontId="20" fillId="16" borderId="0" xfId="19" applyNumberFormat="1" applyFont="1" applyFill="1" applyBorder="1" applyAlignment="1" applyProtection="1">
      <alignment horizontal="right"/>
      <protection/>
    </xf>
    <xf numFmtId="164" fontId="18" fillId="16" borderId="0" xfId="17" applyNumberFormat="1" applyFont="1" applyFill="1" applyBorder="1" applyAlignment="1" applyProtection="1">
      <alignment/>
      <protection/>
    </xf>
    <xf numFmtId="165" fontId="20" fillId="16" borderId="0" xfId="17" applyFont="1" applyFill="1" applyBorder="1" applyAlignment="1" applyProtection="1">
      <alignment horizontal="center"/>
      <protection/>
    </xf>
    <xf numFmtId="185" fontId="20" fillId="16" borderId="0" xfId="19" applyNumberFormat="1" applyFont="1" applyFill="1" applyBorder="1" applyAlignment="1" applyProtection="1">
      <alignment horizontal="center"/>
      <protection/>
    </xf>
    <xf numFmtId="164" fontId="18" fillId="16" borderId="0" xfId="0" applyFont="1" applyFill="1" applyBorder="1" applyAlignment="1">
      <alignment horizontal="left"/>
    </xf>
    <xf numFmtId="165" fontId="20" fillId="16" borderId="0" xfId="17" applyFont="1" applyFill="1" applyBorder="1" applyAlignment="1" applyProtection="1">
      <alignment/>
      <protection/>
    </xf>
    <xf numFmtId="185" fontId="20" fillId="16" borderId="0" xfId="19" applyNumberFormat="1" applyFont="1" applyFill="1" applyBorder="1" applyAlignment="1" applyProtection="1">
      <alignment/>
      <protection/>
    </xf>
    <xf numFmtId="188" fontId="0" fillId="2" borderId="0" xfId="0" applyNumberFormat="1" applyFill="1" applyAlignment="1">
      <alignment/>
    </xf>
    <xf numFmtId="164" fontId="20" fillId="16" borderId="13" xfId="0" applyFont="1" applyFill="1" applyBorder="1" applyAlignment="1">
      <alignment horizontal="left"/>
    </xf>
    <xf numFmtId="164" fontId="20" fillId="16" borderId="0" xfId="0" applyFont="1" applyFill="1" applyBorder="1" applyAlignment="1">
      <alignment horizontal="right"/>
    </xf>
    <xf numFmtId="165" fontId="20" fillId="16" borderId="0" xfId="21" applyFont="1" applyFill="1" applyBorder="1" applyAlignment="1" applyProtection="1">
      <alignment horizontal="center"/>
      <protection/>
    </xf>
    <xf numFmtId="165" fontId="18" fillId="16" borderId="0" xfId="17" applyFont="1" applyFill="1" applyBorder="1" applyAlignment="1" applyProtection="1">
      <alignment horizontal="center"/>
      <protection/>
    </xf>
    <xf numFmtId="185" fontId="18" fillId="16" borderId="0" xfId="19" applyNumberFormat="1" applyFont="1" applyFill="1" applyBorder="1" applyAlignment="1" applyProtection="1">
      <alignment horizontal="right"/>
      <protection/>
    </xf>
    <xf numFmtId="164" fontId="18" fillId="16" borderId="13" xfId="0" applyFont="1" applyFill="1" applyBorder="1" applyAlignment="1">
      <alignment horizontal="left" vertical="center"/>
    </xf>
    <xf numFmtId="164" fontId="20" fillId="16" borderId="15" xfId="0" applyFont="1" applyFill="1" applyBorder="1" applyAlignment="1">
      <alignment horizontal="right"/>
    </xf>
    <xf numFmtId="165" fontId="20" fillId="16" borderId="23" xfId="17" applyFont="1" applyFill="1" applyBorder="1" applyAlignment="1" applyProtection="1">
      <alignment horizontal="center"/>
      <protection/>
    </xf>
    <xf numFmtId="185" fontId="20" fillId="16" borderId="23" xfId="19" applyNumberFormat="1" applyFont="1" applyFill="1" applyBorder="1" applyAlignment="1" applyProtection="1">
      <alignment horizontal="right"/>
      <protection/>
    </xf>
    <xf numFmtId="164" fontId="20" fillId="16" borderId="8" xfId="0" applyFont="1" applyFill="1" applyBorder="1" applyAlignment="1">
      <alignment horizontal="right"/>
    </xf>
    <xf numFmtId="165" fontId="18" fillId="0" borderId="1" xfId="17" applyNumberFormat="1" applyFont="1" applyFill="1" applyBorder="1" applyAlignment="1" applyProtection="1">
      <alignment/>
      <protection/>
    </xf>
    <xf numFmtId="188" fontId="18" fillId="0" borderId="1" xfId="17" applyNumberFormat="1" applyFont="1" applyFill="1" applyBorder="1" applyAlignment="1" applyProtection="1">
      <alignment/>
      <protection/>
    </xf>
    <xf numFmtId="167" fontId="18" fillId="0" borderId="8" xfId="19" applyFont="1" applyFill="1" applyBorder="1" applyAlignment="1" applyProtection="1">
      <alignment/>
      <protection/>
    </xf>
    <xf numFmtId="167" fontId="41" fillId="17" borderId="21" xfId="19" applyFont="1" applyFill="1" applyBorder="1" applyAlignment="1" applyProtection="1">
      <alignment/>
      <protection/>
    </xf>
    <xf numFmtId="164" fontId="18" fillId="2" borderId="0" xfId="0" applyFont="1" applyFill="1" applyAlignment="1">
      <alignment horizontal="right"/>
    </xf>
    <xf numFmtId="164" fontId="20" fillId="18" borderId="8" xfId="0" applyFont="1" applyFill="1" applyBorder="1" applyAlignment="1">
      <alignment horizontal="right"/>
    </xf>
    <xf numFmtId="165" fontId="18" fillId="0" borderId="1" xfId="17" applyFont="1" applyFill="1" applyBorder="1" applyAlignment="1" applyProtection="1">
      <alignment/>
      <protection/>
    </xf>
    <xf numFmtId="164" fontId="20" fillId="19" borderId="8" xfId="0" applyFont="1" applyFill="1" applyBorder="1" applyAlignment="1">
      <alignment horizontal="right"/>
    </xf>
    <xf numFmtId="165" fontId="18" fillId="19" borderId="1" xfId="17" applyFont="1" applyFill="1" applyBorder="1" applyAlignment="1" applyProtection="1">
      <alignment horizontal="center"/>
      <protection/>
    </xf>
    <xf numFmtId="164" fontId="20" fillId="19" borderId="18" xfId="0" applyFont="1" applyFill="1" applyBorder="1" applyAlignment="1">
      <alignment horizontal="left"/>
    </xf>
    <xf numFmtId="164" fontId="18" fillId="19" borderId="18" xfId="0" applyFont="1" applyFill="1" applyBorder="1" applyAlignment="1">
      <alignment horizontal="left"/>
    </xf>
    <xf numFmtId="185" fontId="18" fillId="19" borderId="0" xfId="0" applyNumberFormat="1" applyFont="1" applyFill="1" applyBorder="1" applyAlignment="1">
      <alignment/>
    </xf>
    <xf numFmtId="164" fontId="18" fillId="19" borderId="13" xfId="0" applyFont="1" applyFill="1" applyBorder="1" applyAlignment="1">
      <alignment horizontal="left"/>
    </xf>
    <xf numFmtId="164" fontId="18" fillId="19" borderId="15" xfId="0" applyFont="1" applyFill="1" applyBorder="1" applyAlignment="1">
      <alignment horizontal="left"/>
    </xf>
    <xf numFmtId="185" fontId="18" fillId="19" borderId="23" xfId="0" applyNumberFormat="1" applyFont="1" applyFill="1" applyBorder="1" applyAlignment="1">
      <alignment/>
    </xf>
    <xf numFmtId="189" fontId="41" fillId="17" borderId="16" xfId="19" applyNumberFormat="1" applyFont="1" applyFill="1" applyBorder="1" applyAlignment="1" applyProtection="1">
      <alignment/>
      <protection/>
    </xf>
    <xf numFmtId="164" fontId="20" fillId="19" borderId="1" xfId="0" applyFont="1" applyFill="1" applyBorder="1" applyAlignment="1">
      <alignment horizontal="center"/>
    </xf>
    <xf numFmtId="185" fontId="18" fillId="2" borderId="1" xfId="0" applyNumberFormat="1" applyFont="1" applyFill="1" applyBorder="1" applyAlignment="1">
      <alignment/>
    </xf>
    <xf numFmtId="164" fontId="20" fillId="18" borderId="1" xfId="0" applyFont="1" applyFill="1" applyBorder="1" applyAlignment="1">
      <alignment horizontal="right"/>
    </xf>
    <xf numFmtId="165" fontId="0" fillId="2" borderId="0" xfId="17" applyFont="1" applyFill="1" applyBorder="1" applyAlignment="1" applyProtection="1">
      <alignment/>
      <protection/>
    </xf>
    <xf numFmtId="164" fontId="21" fillId="17" borderId="1" xfId="0" applyFont="1" applyFill="1" applyBorder="1" applyAlignment="1">
      <alignment horizontal="right"/>
    </xf>
    <xf numFmtId="165" fontId="43" fillId="17" borderId="1" xfId="17" applyFont="1" applyFill="1" applyBorder="1" applyAlignment="1" applyProtection="1">
      <alignment/>
      <protection/>
    </xf>
    <xf numFmtId="165" fontId="43" fillId="17" borderId="1" xfId="17" applyNumberFormat="1" applyFont="1" applyFill="1" applyBorder="1" applyAlignment="1" applyProtection="1">
      <alignment/>
      <protection/>
    </xf>
    <xf numFmtId="165" fontId="0" fillId="0" borderId="0" xfId="0" applyNumberFormat="1" applyAlignment="1">
      <alignment/>
    </xf>
    <xf numFmtId="188" fontId="0" fillId="0" borderId="0" xfId="0" applyNumberFormat="1" applyAlignment="1">
      <alignment/>
    </xf>
    <xf numFmtId="164" fontId="45" fillId="0" borderId="12" xfId="0" applyFont="1" applyBorder="1" applyAlignment="1">
      <alignment horizontal="center" vertical="center" wrapText="1"/>
    </xf>
    <xf numFmtId="164" fontId="46" fillId="20" borderId="12" xfId="0" applyFont="1" applyFill="1" applyBorder="1" applyAlignment="1">
      <alignment horizontal="center" vertical="center" wrapText="1"/>
    </xf>
    <xf numFmtId="164" fontId="49" fillId="20" borderId="24" xfId="0" applyFont="1" applyFill="1" applyBorder="1" applyAlignment="1">
      <alignment horizontal="center" vertical="center" wrapText="1"/>
    </xf>
    <xf numFmtId="164" fontId="49" fillId="20" borderId="12" xfId="0" applyFont="1" applyFill="1" applyBorder="1" applyAlignment="1">
      <alignment horizontal="center" vertical="center" wrapText="1"/>
    </xf>
    <xf numFmtId="164" fontId="2" fillId="4" borderId="12" xfId="0" applyFont="1" applyFill="1" applyBorder="1" applyAlignment="1">
      <alignment horizontal="center" vertical="center" wrapText="1"/>
    </xf>
    <xf numFmtId="164" fontId="43" fillId="20" borderId="24" xfId="0" applyFont="1" applyFill="1" applyBorder="1" applyAlignment="1">
      <alignment vertical="top" wrapText="1"/>
    </xf>
    <xf numFmtId="164" fontId="43" fillId="20" borderId="25" xfId="0" applyFont="1" applyFill="1" applyBorder="1" applyAlignment="1">
      <alignment vertical="top" wrapText="1"/>
    </xf>
    <xf numFmtId="164" fontId="50" fillId="0" borderId="0" xfId="0" applyFont="1" applyAlignment="1">
      <alignment/>
    </xf>
    <xf numFmtId="164" fontId="51" fillId="20" borderId="0" xfId="0" applyFont="1" applyFill="1" applyBorder="1" applyAlignment="1">
      <alignment horizontal="center" vertical="center" wrapText="1"/>
    </xf>
    <xf numFmtId="164" fontId="52" fillId="20" borderId="8" xfId="0" applyFont="1" applyFill="1" applyBorder="1" applyAlignment="1">
      <alignment horizontal="right" vertical="center" wrapText="1"/>
    </xf>
    <xf numFmtId="164" fontId="49" fillId="20" borderId="9" xfId="0" applyFont="1" applyFill="1" applyBorder="1" applyAlignment="1">
      <alignment horizontal="left" vertical="center" wrapText="1"/>
    </xf>
    <xf numFmtId="164" fontId="2" fillId="4" borderId="16" xfId="0" applyFont="1" applyFill="1" applyBorder="1" applyAlignment="1">
      <alignment horizontal="center" vertical="center" wrapText="1"/>
    </xf>
    <xf numFmtId="164" fontId="49" fillId="20" borderId="17" xfId="0" applyFont="1" applyFill="1" applyBorder="1" applyAlignment="1">
      <alignment horizontal="center" vertical="center" wrapText="1"/>
    </xf>
    <xf numFmtId="164" fontId="51" fillId="20" borderId="1" xfId="0" applyFont="1" applyFill="1" applyBorder="1" applyAlignment="1">
      <alignment horizontal="center" vertical="center" wrapText="1"/>
    </xf>
    <xf numFmtId="164" fontId="2" fillId="4" borderId="1" xfId="0" applyFont="1" applyFill="1" applyBorder="1" applyAlignment="1">
      <alignment horizontal="center" vertical="center" wrapText="1"/>
    </xf>
    <xf numFmtId="164" fontId="24" fillId="4" borderId="1" xfId="34" applyFont="1" applyFill="1" applyBorder="1" applyAlignment="1">
      <alignment horizontal="center"/>
      <protection/>
    </xf>
    <xf numFmtId="175" fontId="1" fillId="4" borderId="1" xfId="72" applyNumberFormat="1" applyFont="1" applyFill="1" applyBorder="1" applyAlignment="1" applyProtection="1">
      <alignment horizontal="center" vertical="center"/>
      <protection/>
    </xf>
    <xf numFmtId="164" fontId="16" fillId="0" borderId="0" xfId="0" applyFont="1" applyBorder="1" applyAlignment="1">
      <alignment vertical="center" textRotation="90"/>
    </xf>
    <xf numFmtId="164" fontId="14" fillId="20" borderId="1" xfId="34" applyFont="1" applyFill="1" applyBorder="1" applyAlignment="1">
      <alignment horizontal="center" vertical="center"/>
      <protection/>
    </xf>
    <xf numFmtId="164" fontId="24" fillId="4" borderId="1" xfId="34" applyFont="1" applyFill="1" applyBorder="1" applyAlignment="1">
      <alignment horizontal="left"/>
      <protection/>
    </xf>
    <xf numFmtId="164" fontId="16" fillId="0" borderId="13" xfId="0" applyFont="1" applyBorder="1" applyAlignment="1">
      <alignment horizontal="left" vertical="center" textRotation="90"/>
    </xf>
    <xf numFmtId="164" fontId="14" fillId="20" borderId="1" xfId="34" applyFont="1" applyFill="1" applyBorder="1" applyAlignment="1">
      <alignment horizontal="center" vertical="center" wrapText="1"/>
      <protection/>
    </xf>
    <xf numFmtId="175" fontId="1" fillId="4" borderId="1" xfId="72" applyNumberFormat="1" applyFont="1" applyFill="1" applyBorder="1" applyAlignment="1" applyProtection="1">
      <alignment horizontal="center" vertical="center" wrapText="1"/>
      <protection/>
    </xf>
    <xf numFmtId="164" fontId="16" fillId="0" borderId="0" xfId="0" applyFont="1" applyBorder="1" applyAlignment="1">
      <alignment horizontal="left" vertical="center" textRotation="90"/>
    </xf>
    <xf numFmtId="177" fontId="1" fillId="4" borderId="1" xfId="72" applyNumberFormat="1" applyFont="1" applyFill="1" applyBorder="1" applyAlignment="1" applyProtection="1">
      <alignment horizontal="center" vertical="center"/>
      <protection/>
    </xf>
    <xf numFmtId="164" fontId="14" fillId="8" borderId="8" xfId="34" applyFont="1" applyFill="1" applyBorder="1" applyAlignment="1">
      <alignment horizontal="center" vertical="center" wrapText="1"/>
      <protection/>
    </xf>
    <xf numFmtId="164" fontId="14" fillId="8" borderId="1" xfId="34" applyFont="1" applyFill="1" applyBorder="1" applyAlignment="1">
      <alignment horizontal="center" vertical="center" wrapText="1"/>
      <protection/>
    </xf>
    <xf numFmtId="175" fontId="24" fillId="7" borderId="8" xfId="34" applyNumberFormat="1" applyFont="1" applyFill="1" applyBorder="1" applyAlignment="1">
      <alignment horizontal="center"/>
      <protection/>
    </xf>
    <xf numFmtId="177" fontId="1" fillId="5" borderId="1" xfId="72" applyNumberFormat="1" applyFont="1" applyFill="1" applyBorder="1" applyAlignment="1" applyProtection="1">
      <alignment horizontal="right" vertical="center"/>
      <protection/>
    </xf>
    <xf numFmtId="173" fontId="24" fillId="7" borderId="8" xfId="34" applyNumberFormat="1" applyFont="1" applyFill="1" applyBorder="1" applyAlignment="1">
      <alignment horizontal="center"/>
      <protection/>
    </xf>
    <xf numFmtId="164" fontId="49" fillId="20" borderId="8" xfId="0" applyFont="1" applyFill="1" applyBorder="1" applyAlignment="1">
      <alignment vertical="center" wrapText="1"/>
    </xf>
    <xf numFmtId="164" fontId="49" fillId="20" borderId="19" xfId="0" applyFont="1" applyFill="1" applyBorder="1" applyAlignment="1">
      <alignment vertical="center" wrapText="1"/>
    </xf>
    <xf numFmtId="164" fontId="49" fillId="20" borderId="9" xfId="0" applyFont="1" applyFill="1" applyBorder="1" applyAlignment="1">
      <alignment vertical="center" wrapText="1"/>
    </xf>
    <xf numFmtId="164" fontId="51" fillId="20" borderId="20" xfId="36" applyFont="1" applyFill="1" applyBorder="1" applyAlignment="1">
      <alignment vertical="center" wrapText="1"/>
      <protection/>
    </xf>
    <xf numFmtId="164" fontId="9" fillId="5" borderId="26" xfId="0" applyFont="1" applyFill="1" applyBorder="1" applyAlignment="1">
      <alignment horizontal="center" vertical="center"/>
    </xf>
    <xf numFmtId="164" fontId="9" fillId="5" borderId="27" xfId="0" applyFont="1" applyFill="1" applyBorder="1" applyAlignment="1">
      <alignment horizontal="center" vertical="center"/>
    </xf>
    <xf numFmtId="164" fontId="51" fillId="20" borderId="16" xfId="36" applyFont="1" applyFill="1" applyBorder="1" applyAlignment="1">
      <alignment vertical="center" wrapText="1"/>
      <protection/>
    </xf>
    <xf numFmtId="164" fontId="3" fillId="0" borderId="8" xfId="0" applyFont="1" applyBorder="1" applyAlignment="1">
      <alignment/>
    </xf>
    <xf numFmtId="164" fontId="3" fillId="0" borderId="19" xfId="0" applyFont="1" applyBorder="1" applyAlignment="1">
      <alignment/>
    </xf>
    <xf numFmtId="164" fontId="3" fillId="0" borderId="9" xfId="0" applyFont="1" applyBorder="1" applyAlignment="1">
      <alignment/>
    </xf>
    <xf numFmtId="167" fontId="2" fillId="4" borderId="1" xfId="36" applyNumberFormat="1" applyFont="1" applyFill="1" applyBorder="1" applyAlignment="1">
      <alignment horizontal="center" vertical="center" wrapText="1"/>
      <protection/>
    </xf>
    <xf numFmtId="164" fontId="3" fillId="0" borderId="1" xfId="0" applyFont="1" applyBorder="1" applyAlignment="1">
      <alignment/>
    </xf>
    <xf numFmtId="164" fontId="49" fillId="20" borderId="1" xfId="0" applyFont="1" applyFill="1" applyBorder="1" applyAlignment="1">
      <alignment horizontal="center" vertical="center" wrapText="1"/>
    </xf>
    <xf numFmtId="191" fontId="2" fillId="4" borderId="1" xfId="0" applyNumberFormat="1" applyFont="1" applyFill="1" applyBorder="1" applyAlignment="1">
      <alignment horizontal="center" vertical="center" wrapText="1"/>
    </xf>
    <xf numFmtId="164" fontId="14" fillId="20" borderId="8" xfId="34" applyFont="1" applyFill="1" applyBorder="1" applyAlignment="1">
      <alignment horizontal="center" vertical="center"/>
      <protection/>
    </xf>
    <xf numFmtId="164" fontId="24" fillId="4" borderId="8" xfId="34" applyFont="1" applyFill="1" applyBorder="1" applyAlignment="1">
      <alignment horizontal="left"/>
      <protection/>
    </xf>
    <xf numFmtId="175" fontId="1" fillId="11" borderId="1" xfId="72" applyNumberFormat="1" applyFont="1" applyFill="1" applyBorder="1" applyAlignment="1" applyProtection="1">
      <alignment horizontal="center" vertical="center"/>
      <protection/>
    </xf>
    <xf numFmtId="167" fontId="1" fillId="11" borderId="1" xfId="19" applyFont="1" applyFill="1" applyBorder="1" applyAlignment="1" applyProtection="1">
      <alignment horizontal="center" vertical="center"/>
      <protection/>
    </xf>
    <xf numFmtId="167" fontId="1" fillId="11" borderId="8" xfId="19" applyFont="1" applyFill="1" applyBorder="1" applyAlignment="1" applyProtection="1">
      <alignment horizontal="center" vertical="center"/>
      <protection/>
    </xf>
    <xf numFmtId="164" fontId="24" fillId="0" borderId="0" xfId="34" applyFont="1" applyFill="1" applyBorder="1" applyAlignment="1">
      <alignment horizontal="left"/>
      <protection/>
    </xf>
    <xf numFmtId="175" fontId="1" fillId="0" borderId="0" xfId="72" applyNumberFormat="1" applyFont="1" applyFill="1" applyBorder="1" applyAlignment="1" applyProtection="1">
      <alignment horizontal="center" vertical="center"/>
      <protection/>
    </xf>
    <xf numFmtId="167" fontId="1" fillId="0" borderId="0" xfId="19" applyFont="1" applyFill="1" applyBorder="1" applyAlignment="1" applyProtection="1">
      <alignment horizontal="center" vertical="center"/>
      <protection/>
    </xf>
    <xf numFmtId="164" fontId="16" fillId="0" borderId="0" xfId="0" applyFont="1" applyFill="1" applyBorder="1" applyAlignment="1">
      <alignment horizontal="left" vertical="center" textRotation="90"/>
    </xf>
    <xf numFmtId="164" fontId="14" fillId="20" borderId="1" xfId="0" applyFont="1" applyFill="1" applyBorder="1" applyAlignment="1">
      <alignment horizontal="center" vertical="center" wrapText="1"/>
    </xf>
    <xf numFmtId="164" fontId="9" fillId="0" borderId="0" xfId="0" applyFont="1" applyBorder="1" applyAlignment="1">
      <alignment/>
    </xf>
    <xf numFmtId="164" fontId="9" fillId="0" borderId="13" xfId="0" applyFont="1" applyBorder="1" applyAlignment="1">
      <alignment/>
    </xf>
    <xf numFmtId="164" fontId="3" fillId="4" borderId="1" xfId="0" applyFont="1" applyFill="1" applyBorder="1" applyAlignment="1">
      <alignment/>
    </xf>
    <xf numFmtId="164" fontId="3" fillId="4" borderId="1" xfId="0" applyFont="1" applyFill="1" applyBorder="1" applyAlignment="1">
      <alignment horizontal="center"/>
    </xf>
    <xf numFmtId="164" fontId="3" fillId="4" borderId="1" xfId="0" applyFont="1" applyFill="1" applyBorder="1" applyAlignment="1">
      <alignment horizontal="left"/>
    </xf>
    <xf numFmtId="192" fontId="8" fillId="4" borderId="1" xfId="0" applyNumberFormat="1" applyFont="1" applyFill="1" applyBorder="1" applyAlignment="1">
      <alignment horizontal="center"/>
    </xf>
    <xf numFmtId="164" fontId="14" fillId="15" borderId="28" xfId="34" applyFont="1" applyFill="1" applyBorder="1" applyAlignment="1">
      <alignment horizontal="center" vertical="center"/>
      <protection/>
    </xf>
    <xf numFmtId="164" fontId="14" fillId="15" borderId="29" xfId="34" applyFont="1" applyFill="1" applyBorder="1" applyAlignment="1">
      <alignment horizontal="center" vertical="center"/>
      <protection/>
    </xf>
    <xf numFmtId="164" fontId="14" fillId="15" borderId="30" xfId="34" applyFont="1" applyFill="1" applyBorder="1" applyAlignment="1">
      <alignment horizontal="center" vertical="center"/>
      <protection/>
    </xf>
    <xf numFmtId="164" fontId="14" fillId="15" borderId="31" xfId="34" applyFont="1" applyFill="1" applyBorder="1" applyAlignment="1">
      <alignment horizontal="center" vertical="center"/>
      <protection/>
    </xf>
    <xf numFmtId="164" fontId="14" fillId="15" borderId="20" xfId="34" applyFont="1" applyFill="1" applyBorder="1" applyAlignment="1">
      <alignment horizontal="center" vertical="center"/>
      <protection/>
    </xf>
    <xf numFmtId="164" fontId="14" fillId="15" borderId="32" xfId="34" applyFont="1" applyFill="1" applyBorder="1" applyAlignment="1">
      <alignment horizontal="center" vertical="center"/>
      <protection/>
    </xf>
    <xf numFmtId="164" fontId="24" fillId="15" borderId="33" xfId="34" applyFont="1" applyFill="1" applyBorder="1" applyAlignment="1">
      <alignment horizontal="center" vertical="center"/>
      <protection/>
    </xf>
    <xf numFmtId="175" fontId="1" fillId="15" borderId="30" xfId="72" applyNumberFormat="1" applyFont="1" applyFill="1" applyBorder="1" applyAlignment="1" applyProtection="1">
      <alignment horizontal="center" vertical="center"/>
      <protection/>
    </xf>
    <xf numFmtId="175" fontId="1" fillId="5" borderId="30" xfId="72" applyNumberFormat="1" applyFont="1" applyFill="1" applyBorder="1" applyAlignment="1" applyProtection="1">
      <alignment horizontal="center" vertical="center"/>
      <protection/>
    </xf>
    <xf numFmtId="175" fontId="1" fillId="5" borderId="31" xfId="72" applyNumberFormat="1" applyFont="1" applyFill="1" applyBorder="1" applyAlignment="1" applyProtection="1">
      <alignment horizontal="center" vertical="center"/>
      <protection/>
    </xf>
    <xf numFmtId="175" fontId="1" fillId="15" borderId="1" xfId="72" applyNumberFormat="1" applyFont="1" applyFill="1" applyBorder="1" applyAlignment="1" applyProtection="1">
      <alignment horizontal="center" vertical="center"/>
      <protection/>
    </xf>
    <xf numFmtId="175" fontId="1" fillId="5" borderId="1" xfId="72" applyNumberFormat="1" applyFont="1" applyFill="1" applyBorder="1" applyAlignment="1" applyProtection="1">
      <alignment horizontal="center" vertical="center"/>
      <protection/>
    </xf>
    <xf numFmtId="175" fontId="1" fillId="5" borderId="34" xfId="72" applyNumberFormat="1" applyFont="1" applyFill="1" applyBorder="1" applyAlignment="1" applyProtection="1">
      <alignment horizontal="center" vertical="center"/>
      <protection/>
    </xf>
    <xf numFmtId="175" fontId="1" fillId="15" borderId="35" xfId="72" applyNumberFormat="1" applyFont="1" applyFill="1" applyBorder="1" applyAlignment="1" applyProtection="1">
      <alignment horizontal="center" vertical="center"/>
      <protection/>
    </xf>
    <xf numFmtId="175" fontId="1" fillId="5" borderId="35" xfId="72" applyNumberFormat="1" applyFont="1" applyFill="1" applyBorder="1" applyAlignment="1" applyProtection="1">
      <alignment horizontal="center" vertical="center"/>
      <protection/>
    </xf>
    <xf numFmtId="175" fontId="1" fillId="5" borderId="36" xfId="72" applyNumberFormat="1" applyFont="1" applyFill="1" applyBorder="1" applyAlignment="1" applyProtection="1">
      <alignment horizontal="center" vertical="center"/>
      <protection/>
    </xf>
    <xf numFmtId="164" fontId="24" fillId="15" borderId="28" xfId="34" applyFont="1" applyFill="1" applyBorder="1" applyAlignment="1">
      <alignment horizontal="center" vertical="center"/>
      <protection/>
    </xf>
    <xf numFmtId="175" fontId="1" fillId="15" borderId="20" xfId="72" applyNumberFormat="1" applyFont="1" applyFill="1" applyBorder="1" applyAlignment="1" applyProtection="1">
      <alignment horizontal="center" vertical="center"/>
      <protection/>
    </xf>
    <xf numFmtId="175" fontId="1" fillId="5" borderId="20" xfId="72" applyNumberFormat="1" applyFont="1" applyFill="1" applyBorder="1" applyAlignment="1" applyProtection="1">
      <alignment horizontal="center" vertical="center"/>
      <protection/>
    </xf>
    <xf numFmtId="175" fontId="1" fillId="5" borderId="32" xfId="72" applyNumberFormat="1" applyFont="1" applyFill="1" applyBorder="1" applyAlignment="1" applyProtection="1">
      <alignment horizontal="center" vertical="center"/>
      <protection/>
    </xf>
    <xf numFmtId="164" fontId="24" fillId="15" borderId="37" xfId="34" applyFont="1" applyFill="1" applyBorder="1" applyAlignment="1">
      <alignment horizontal="center" vertical="center"/>
      <protection/>
    </xf>
    <xf numFmtId="175" fontId="1" fillId="15" borderId="16" xfId="72" applyNumberFormat="1" applyFont="1" applyFill="1" applyBorder="1" applyAlignment="1" applyProtection="1">
      <alignment horizontal="center" vertical="center"/>
      <protection/>
    </xf>
    <xf numFmtId="175" fontId="1" fillId="5" borderId="16" xfId="72" applyNumberFormat="1" applyFont="1" applyFill="1" applyBorder="1" applyAlignment="1" applyProtection="1">
      <alignment horizontal="center" vertical="center"/>
      <protection/>
    </xf>
    <xf numFmtId="175" fontId="1" fillId="5" borderId="38" xfId="72" applyNumberFormat="1" applyFont="1" applyFill="1" applyBorder="1" applyAlignment="1" applyProtection="1">
      <alignment horizontal="center" vertical="center"/>
      <protection/>
    </xf>
    <xf numFmtId="164" fontId="14" fillId="8" borderId="20" xfId="34" applyFont="1" applyFill="1" applyBorder="1" applyAlignment="1">
      <alignment horizontal="center" vertical="center"/>
      <protection/>
    </xf>
    <xf numFmtId="164" fontId="14" fillId="8" borderId="8" xfId="34" applyFont="1" applyFill="1" applyBorder="1" applyAlignment="1">
      <alignment vertical="center"/>
      <protection/>
    </xf>
    <xf numFmtId="164" fontId="14" fillId="8" borderId="9" xfId="34" applyFont="1" applyFill="1" applyBorder="1" applyAlignment="1">
      <alignment vertical="center"/>
      <protection/>
    </xf>
    <xf numFmtId="193" fontId="1" fillId="5" borderId="30" xfId="72" applyNumberFormat="1" applyFont="1" applyFill="1" applyBorder="1" applyAlignment="1" applyProtection="1">
      <alignment horizontal="center" vertical="center"/>
      <protection/>
    </xf>
    <xf numFmtId="192" fontId="8" fillId="7" borderId="31" xfId="0" applyNumberFormat="1" applyFont="1" applyFill="1" applyBorder="1" applyAlignment="1">
      <alignment horizontal="center"/>
    </xf>
    <xf numFmtId="193" fontId="1" fillId="5" borderId="1" xfId="72" applyNumberFormat="1" applyFont="1" applyFill="1" applyBorder="1" applyAlignment="1" applyProtection="1">
      <alignment horizontal="center" vertical="center"/>
      <protection/>
    </xf>
    <xf numFmtId="192" fontId="8" fillId="7" borderId="34" xfId="0" applyNumberFormat="1" applyFont="1" applyFill="1" applyBorder="1" applyAlignment="1">
      <alignment horizontal="center"/>
    </xf>
    <xf numFmtId="193" fontId="1" fillId="5" borderId="35" xfId="72" applyNumberFormat="1" applyFont="1" applyFill="1" applyBorder="1" applyAlignment="1" applyProtection="1">
      <alignment horizontal="center" vertical="center"/>
      <protection/>
    </xf>
    <xf numFmtId="192" fontId="8" fillId="7" borderId="36" xfId="0" applyNumberFormat="1" applyFont="1" applyFill="1" applyBorder="1" applyAlignment="1">
      <alignment horizontal="center"/>
    </xf>
    <xf numFmtId="192" fontId="8" fillId="7" borderId="38" xfId="0" applyNumberFormat="1" applyFont="1" applyFill="1" applyBorder="1" applyAlignment="1">
      <alignment horizontal="center"/>
    </xf>
    <xf numFmtId="192" fontId="8" fillId="7" borderId="39" xfId="0" applyNumberFormat="1" applyFont="1" applyFill="1" applyBorder="1" applyAlignment="1">
      <alignment horizontal="center"/>
    </xf>
    <xf numFmtId="164" fontId="14" fillId="8" borderId="40" xfId="34" applyFont="1" applyFill="1" applyBorder="1" applyAlignment="1">
      <alignment horizontal="center" vertical="center"/>
      <protection/>
    </xf>
    <xf numFmtId="164" fontId="14" fillId="8" borderId="30" xfId="34" applyFont="1" applyFill="1" applyBorder="1" applyAlignment="1">
      <alignment horizontal="center" vertical="center"/>
      <protection/>
    </xf>
    <xf numFmtId="164" fontId="14" fillId="8" borderId="31" xfId="34" applyFont="1" applyFill="1" applyBorder="1" applyAlignment="1">
      <alignment horizontal="center" vertical="center"/>
      <protection/>
    </xf>
    <xf numFmtId="164" fontId="14" fillId="0" borderId="0" xfId="34" applyFont="1" applyFill="1" applyBorder="1" applyAlignment="1">
      <alignment horizontal="center" vertical="center"/>
      <protection/>
    </xf>
    <xf numFmtId="164" fontId="14" fillId="8" borderId="34" xfId="34" applyFont="1" applyFill="1" applyBorder="1" applyAlignment="1">
      <alignment horizontal="center" vertical="center"/>
      <protection/>
    </xf>
    <xf numFmtId="164" fontId="24" fillId="15" borderId="41" xfId="34" applyFont="1" applyFill="1" applyBorder="1" applyAlignment="1">
      <alignment horizontal="center" vertical="center"/>
      <protection/>
    </xf>
    <xf numFmtId="177" fontId="1" fillId="5" borderId="1" xfId="72" applyNumberFormat="1" applyFont="1" applyFill="1" applyBorder="1" applyAlignment="1" applyProtection="1">
      <alignment horizontal="center" vertical="center"/>
      <protection/>
    </xf>
    <xf numFmtId="192" fontId="8" fillId="0" borderId="0" xfId="0" applyNumberFormat="1" applyFont="1" applyFill="1" applyBorder="1" applyAlignment="1">
      <alignment horizontal="center"/>
    </xf>
    <xf numFmtId="164" fontId="24" fillId="15" borderId="1" xfId="34" applyFont="1" applyFill="1" applyBorder="1" applyAlignment="1">
      <alignment horizontal="center" vertical="center"/>
      <protection/>
    </xf>
    <xf numFmtId="164" fontId="3" fillId="0" borderId="0" xfId="0" applyFont="1" applyFill="1" applyAlignment="1">
      <alignment/>
    </xf>
    <xf numFmtId="164" fontId="26" fillId="8" borderId="17" xfId="34" applyFont="1" applyFill="1" applyBorder="1" applyAlignment="1">
      <alignment horizontal="center" vertical="center"/>
      <protection/>
    </xf>
    <xf numFmtId="179" fontId="31" fillId="5" borderId="42" xfId="72" applyNumberFormat="1" applyFont="1" applyFill="1" applyBorder="1" applyAlignment="1" applyProtection="1">
      <alignment horizontal="center" vertical="center"/>
      <protection/>
    </xf>
    <xf numFmtId="164" fontId="49" fillId="20" borderId="16" xfId="0" applyFont="1" applyFill="1" applyBorder="1" applyAlignment="1">
      <alignment horizontal="center" vertical="center" wrapText="1"/>
    </xf>
    <xf numFmtId="164" fontId="8" fillId="5" borderId="1" xfId="0" applyNumberFormat="1" applyFont="1" applyFill="1" applyBorder="1" applyAlignment="1">
      <alignment horizontal="left"/>
    </xf>
    <xf numFmtId="164" fontId="8" fillId="0" borderId="0" xfId="0" applyFont="1" applyAlignment="1">
      <alignment horizontal="right"/>
    </xf>
    <xf numFmtId="185" fontId="2" fillId="4" borderId="1" xfId="19" applyNumberFormat="1" applyFont="1" applyFill="1" applyBorder="1" applyAlignment="1" applyProtection="1">
      <alignment horizontal="center" vertical="center" wrapText="1"/>
      <protection/>
    </xf>
    <xf numFmtId="165" fontId="8" fillId="0" borderId="0" xfId="17" applyFont="1" applyFill="1" applyBorder="1" applyAlignment="1" applyProtection="1">
      <alignment/>
      <protection/>
    </xf>
    <xf numFmtId="179" fontId="8" fillId="0" borderId="0" xfId="0" applyNumberFormat="1" applyFont="1" applyAlignment="1">
      <alignment/>
    </xf>
    <xf numFmtId="164" fontId="49" fillId="20" borderId="20" xfId="0" applyFont="1" applyFill="1" applyBorder="1" applyAlignment="1">
      <alignment horizontal="center" vertical="center" wrapText="1"/>
    </xf>
    <xf numFmtId="164" fontId="3" fillId="0" borderId="1" xfId="0" applyFont="1" applyBorder="1" applyAlignment="1">
      <alignment horizontal="center"/>
    </xf>
    <xf numFmtId="164" fontId="8" fillId="0" borderId="1" xfId="0" applyFont="1" applyFill="1" applyBorder="1" applyAlignment="1">
      <alignment horizontal="center"/>
    </xf>
    <xf numFmtId="167" fontId="8" fillId="0" borderId="1" xfId="0" applyNumberFormat="1" applyFont="1" applyFill="1" applyBorder="1" applyAlignment="1">
      <alignment horizontal="center"/>
    </xf>
    <xf numFmtId="191" fontId="8" fillId="0" borderId="0" xfId="19" applyNumberFormat="1" applyFont="1" applyFill="1" applyBorder="1" applyAlignment="1" applyProtection="1">
      <alignment/>
      <protection/>
    </xf>
    <xf numFmtId="164" fontId="14" fillId="15" borderId="1" xfId="34" applyFont="1" applyFill="1" applyBorder="1" applyAlignment="1">
      <alignment horizontal="center" vertical="center"/>
      <protection/>
    </xf>
    <xf numFmtId="164" fontId="49" fillId="20" borderId="43" xfId="34" applyFont="1" applyFill="1" applyBorder="1" applyAlignment="1">
      <alignment horizontal="center" vertical="center"/>
      <protection/>
    </xf>
    <xf numFmtId="175" fontId="1" fillId="5" borderId="44" xfId="72" applyNumberFormat="1" applyFont="1" applyFill="1" applyBorder="1" applyAlignment="1" applyProtection="1">
      <alignment horizontal="center" vertical="center"/>
      <protection/>
    </xf>
    <xf numFmtId="191" fontId="1" fillId="11" borderId="45" xfId="19" applyNumberFormat="1" applyFont="1" applyFill="1" applyBorder="1" applyAlignment="1" applyProtection="1">
      <alignment horizontal="center" vertical="center"/>
      <protection/>
    </xf>
    <xf numFmtId="175" fontId="1" fillId="5" borderId="8" xfId="72" applyNumberFormat="1" applyFont="1" applyFill="1" applyBorder="1" applyAlignment="1" applyProtection="1">
      <alignment horizontal="center" vertical="center"/>
      <protection/>
    </xf>
    <xf numFmtId="191" fontId="1" fillId="11" borderId="46" xfId="19" applyNumberFormat="1" applyFont="1" applyFill="1" applyBorder="1" applyAlignment="1" applyProtection="1">
      <alignment horizontal="center" vertical="center"/>
      <protection/>
    </xf>
    <xf numFmtId="191" fontId="8" fillId="0" borderId="0" xfId="0" applyNumberFormat="1" applyFont="1" applyAlignment="1">
      <alignment/>
    </xf>
    <xf numFmtId="175" fontId="1" fillId="5" borderId="47" xfId="72" applyNumberFormat="1" applyFont="1" applyFill="1" applyBorder="1" applyAlignment="1" applyProtection="1">
      <alignment horizontal="center" vertical="center"/>
      <protection/>
    </xf>
    <xf numFmtId="191" fontId="1" fillId="11" borderId="48" xfId="19" applyNumberFormat="1" applyFont="1" applyFill="1" applyBorder="1" applyAlignment="1" applyProtection="1">
      <alignment horizontal="center" vertical="center"/>
      <protection/>
    </xf>
    <xf numFmtId="191" fontId="1" fillId="11" borderId="49" xfId="19" applyNumberFormat="1" applyFont="1" applyFill="1" applyBorder="1" applyAlignment="1" applyProtection="1">
      <alignment horizontal="center" vertical="center"/>
      <protection/>
    </xf>
    <xf numFmtId="164" fontId="24" fillId="15" borderId="50" xfId="34" applyFont="1" applyFill="1" applyBorder="1" applyAlignment="1">
      <alignment horizontal="center" vertical="center"/>
      <protection/>
    </xf>
    <xf numFmtId="175" fontId="1" fillId="5" borderId="15" xfId="72" applyNumberFormat="1" applyFont="1" applyFill="1" applyBorder="1" applyAlignment="1" applyProtection="1">
      <alignment horizontal="center" vertical="center"/>
      <protection/>
    </xf>
    <xf numFmtId="191" fontId="1" fillId="11" borderId="38" xfId="19" applyNumberFormat="1" applyFont="1" applyFill="1" applyBorder="1" applyAlignment="1" applyProtection="1">
      <alignment horizontal="center" vertical="center"/>
      <protection/>
    </xf>
    <xf numFmtId="191" fontId="1" fillId="11" borderId="34" xfId="19" applyNumberFormat="1" applyFont="1" applyFill="1" applyBorder="1" applyAlignment="1" applyProtection="1">
      <alignment horizontal="center" vertical="center"/>
      <protection/>
    </xf>
    <xf numFmtId="191" fontId="1" fillId="11" borderId="32" xfId="19" applyNumberFormat="1" applyFont="1" applyFill="1" applyBorder="1" applyAlignment="1" applyProtection="1">
      <alignment horizontal="center" vertical="center"/>
      <protection/>
    </xf>
    <xf numFmtId="191" fontId="1" fillId="11" borderId="51" xfId="19" applyNumberFormat="1" applyFont="1" applyFill="1" applyBorder="1" applyAlignment="1" applyProtection="1">
      <alignment horizontal="center" vertical="center"/>
      <protection/>
    </xf>
    <xf numFmtId="164" fontId="24" fillId="15" borderId="14" xfId="34" applyFont="1" applyFill="1" applyBorder="1" applyAlignment="1">
      <alignment horizontal="center" vertical="center"/>
      <protection/>
    </xf>
    <xf numFmtId="194" fontId="1" fillId="5" borderId="30" xfId="72" applyNumberFormat="1" applyFont="1" applyFill="1" applyBorder="1" applyAlignment="1" applyProtection="1">
      <alignment horizontal="center" vertical="center"/>
      <protection/>
    </xf>
    <xf numFmtId="194" fontId="1" fillId="5" borderId="31" xfId="72" applyNumberFormat="1" applyFont="1" applyFill="1" applyBorder="1" applyAlignment="1" applyProtection="1">
      <alignment horizontal="center" vertical="center"/>
      <protection/>
    </xf>
    <xf numFmtId="194" fontId="1" fillId="5" borderId="1" xfId="72" applyNumberFormat="1" applyFont="1" applyFill="1" applyBorder="1" applyAlignment="1" applyProtection="1">
      <alignment horizontal="center" vertical="center"/>
      <protection/>
    </xf>
    <xf numFmtId="194" fontId="1" fillId="5" borderId="34" xfId="72" applyNumberFormat="1" applyFont="1" applyFill="1" applyBorder="1" applyAlignment="1" applyProtection="1">
      <alignment horizontal="center" vertical="center"/>
      <protection/>
    </xf>
    <xf numFmtId="194" fontId="1" fillId="5" borderId="35" xfId="72" applyNumberFormat="1" applyFont="1" applyFill="1" applyBorder="1" applyAlignment="1" applyProtection="1">
      <alignment horizontal="center" vertical="center"/>
      <protection/>
    </xf>
    <xf numFmtId="194" fontId="1" fillId="5" borderId="36" xfId="72" applyNumberFormat="1" applyFont="1" applyFill="1" applyBorder="1" applyAlignment="1" applyProtection="1">
      <alignment horizontal="center" vertical="center"/>
      <protection/>
    </xf>
    <xf numFmtId="194" fontId="1" fillId="5" borderId="20" xfId="72" applyNumberFormat="1" applyFont="1" applyFill="1" applyBorder="1" applyAlignment="1" applyProtection="1">
      <alignment horizontal="center" vertical="center"/>
      <protection/>
    </xf>
    <xf numFmtId="194" fontId="1" fillId="5" borderId="32" xfId="72" applyNumberFormat="1" applyFont="1" applyFill="1" applyBorder="1" applyAlignment="1" applyProtection="1">
      <alignment horizontal="center" vertical="center"/>
      <protection/>
    </xf>
    <xf numFmtId="194" fontId="1" fillId="5" borderId="16" xfId="72" applyNumberFormat="1" applyFont="1" applyFill="1" applyBorder="1" applyAlignment="1" applyProtection="1">
      <alignment horizontal="center" vertical="center"/>
      <protection/>
    </xf>
    <xf numFmtId="194" fontId="1" fillId="5" borderId="38" xfId="72" applyNumberFormat="1" applyFont="1" applyFill="1" applyBorder="1" applyAlignment="1" applyProtection="1">
      <alignment horizontal="center" vertical="center"/>
      <protection/>
    </xf>
    <xf numFmtId="164" fontId="24" fillId="15" borderId="10" xfId="34" applyFont="1" applyFill="1" applyBorder="1" applyAlignment="1">
      <alignment horizontal="center" vertical="center"/>
      <protection/>
    </xf>
    <xf numFmtId="175" fontId="1" fillId="15" borderId="44" xfId="72" applyNumberFormat="1" applyFont="1" applyFill="1" applyBorder="1" applyAlignment="1" applyProtection="1">
      <alignment horizontal="center" vertical="center"/>
      <protection/>
    </xf>
    <xf numFmtId="175" fontId="1" fillId="5" borderId="33" xfId="72" applyNumberFormat="1" applyFont="1" applyFill="1" applyBorder="1" applyAlignment="1" applyProtection="1">
      <alignment horizontal="center" vertical="center"/>
      <protection/>
    </xf>
    <xf numFmtId="175" fontId="1" fillId="5" borderId="52" xfId="72" applyNumberFormat="1" applyFont="1" applyFill="1" applyBorder="1" applyAlignment="1" applyProtection="1">
      <alignment horizontal="center" vertical="center"/>
      <protection/>
    </xf>
    <xf numFmtId="175" fontId="1" fillId="5" borderId="42" xfId="72" applyNumberFormat="1" applyFont="1" applyFill="1" applyBorder="1" applyAlignment="1" applyProtection="1">
      <alignment horizontal="center" vertical="center"/>
      <protection/>
    </xf>
    <xf numFmtId="175" fontId="1" fillId="15" borderId="8" xfId="72" applyNumberFormat="1" applyFont="1" applyFill="1" applyBorder="1" applyAlignment="1" applyProtection="1">
      <alignment horizontal="center" vertical="center"/>
      <protection/>
    </xf>
    <xf numFmtId="175" fontId="1" fillId="15" borderId="47" xfId="72" applyNumberFormat="1" applyFont="1" applyFill="1" applyBorder="1" applyAlignment="1" applyProtection="1">
      <alignment horizontal="center" vertical="center"/>
      <protection/>
    </xf>
    <xf numFmtId="175" fontId="1" fillId="5" borderId="28" xfId="72" applyNumberFormat="1" applyFont="1" applyFill="1" applyBorder="1" applyAlignment="1" applyProtection="1">
      <alignment horizontal="center" vertical="center"/>
      <protection/>
    </xf>
    <xf numFmtId="175" fontId="1" fillId="5" borderId="29" xfId="72" applyNumberFormat="1" applyFont="1" applyFill="1" applyBorder="1" applyAlignment="1" applyProtection="1">
      <alignment horizontal="center" vertical="center"/>
      <protection/>
    </xf>
    <xf numFmtId="175" fontId="1" fillId="5" borderId="43" xfId="72" applyNumberFormat="1" applyFont="1" applyFill="1" applyBorder="1" applyAlignment="1" applyProtection="1">
      <alignment horizontal="center" vertical="center"/>
      <protection/>
    </xf>
    <xf numFmtId="175" fontId="1" fillId="15" borderId="18" xfId="72" applyNumberFormat="1" applyFont="1" applyFill="1" applyBorder="1" applyAlignment="1" applyProtection="1">
      <alignment horizontal="center" vertical="center"/>
      <protection/>
    </xf>
    <xf numFmtId="175" fontId="1" fillId="5" borderId="53" xfId="72" applyNumberFormat="1" applyFont="1" applyFill="1" applyBorder="1" applyAlignment="1" applyProtection="1">
      <alignment horizontal="center" vertical="center"/>
      <protection/>
    </xf>
    <xf numFmtId="175" fontId="1" fillId="5" borderId="39" xfId="72" applyNumberFormat="1" applyFont="1" applyFill="1" applyBorder="1" applyAlignment="1" applyProtection="1">
      <alignment horizontal="center" vertical="center"/>
      <protection/>
    </xf>
    <xf numFmtId="175" fontId="1" fillId="15" borderId="15" xfId="72" applyNumberFormat="1" applyFont="1" applyFill="1" applyBorder="1" applyAlignment="1" applyProtection="1">
      <alignment horizontal="center" vertical="center"/>
      <protection/>
    </xf>
    <xf numFmtId="175" fontId="1" fillId="5" borderId="37" xfId="72" applyNumberFormat="1" applyFont="1" applyFill="1" applyBorder="1" applyAlignment="1" applyProtection="1">
      <alignment horizontal="center" vertical="center"/>
      <protection/>
    </xf>
    <xf numFmtId="175" fontId="1" fillId="5" borderId="21" xfId="72" applyNumberFormat="1" applyFont="1" applyFill="1" applyBorder="1" applyAlignment="1" applyProtection="1">
      <alignment horizontal="center" vertical="center"/>
      <protection/>
    </xf>
    <xf numFmtId="175" fontId="1" fillId="5" borderId="54" xfId="72" applyNumberFormat="1" applyFont="1" applyFill="1" applyBorder="1" applyAlignment="1" applyProtection="1">
      <alignment horizontal="center" vertical="center"/>
      <protection/>
    </xf>
    <xf numFmtId="175" fontId="1" fillId="5" borderId="55" xfId="72" applyNumberFormat="1" applyFont="1" applyFill="1" applyBorder="1" applyAlignment="1" applyProtection="1">
      <alignment horizontal="center" vertical="center"/>
      <protection/>
    </xf>
    <xf numFmtId="164" fontId="5" fillId="15" borderId="1" xfId="0" applyFont="1" applyFill="1" applyBorder="1" applyAlignment="1">
      <alignment horizontal="center" vertical="center" wrapText="1"/>
    </xf>
    <xf numFmtId="164" fontId="49" fillId="15" borderId="8" xfId="0" applyFont="1" applyFill="1" applyBorder="1" applyAlignment="1">
      <alignment horizontal="center" vertical="center" wrapText="1"/>
    </xf>
    <xf numFmtId="164" fontId="49" fillId="15" borderId="9" xfId="0" applyFont="1" applyFill="1" applyBorder="1" applyAlignment="1">
      <alignment horizontal="center" vertical="center" wrapText="1"/>
    </xf>
    <xf numFmtId="164" fontId="49" fillId="15" borderId="1" xfId="0" applyFont="1" applyFill="1" applyBorder="1" applyAlignment="1">
      <alignment horizontal="center" vertical="center" wrapText="1"/>
    </xf>
    <xf numFmtId="164" fontId="52" fillId="15" borderId="9" xfId="0" applyFont="1" applyFill="1" applyBorder="1" applyAlignment="1">
      <alignment horizontal="center" vertical="center" wrapText="1"/>
    </xf>
    <xf numFmtId="185" fontId="56" fillId="7" borderId="1" xfId="19" applyNumberFormat="1" applyFont="1" applyFill="1" applyBorder="1" applyAlignment="1" applyProtection="1">
      <alignment horizontal="left" vertical="center"/>
      <protection/>
    </xf>
    <xf numFmtId="164" fontId="8" fillId="0" borderId="0" xfId="0" applyNumberFormat="1" applyFont="1" applyAlignment="1">
      <alignment/>
    </xf>
    <xf numFmtId="164" fontId="57" fillId="15" borderId="9" xfId="0" applyFont="1" applyFill="1" applyBorder="1" applyAlignment="1">
      <alignment horizontal="center" vertical="center" wrapText="1"/>
    </xf>
    <xf numFmtId="164" fontId="5" fillId="20" borderId="1" xfId="0" applyFont="1" applyFill="1" applyBorder="1" applyAlignment="1">
      <alignment horizontal="center" vertical="center" wrapText="1"/>
    </xf>
    <xf numFmtId="164" fontId="49" fillId="20" borderId="8" xfId="0" applyFont="1" applyFill="1" applyBorder="1" applyAlignment="1">
      <alignment horizontal="center" vertical="center" wrapText="1"/>
    </xf>
    <xf numFmtId="164" fontId="49" fillId="20" borderId="9" xfId="0" applyFont="1" applyFill="1" applyBorder="1" applyAlignment="1">
      <alignment horizontal="center" vertical="center" wrapText="1"/>
    </xf>
    <xf numFmtId="164" fontId="52" fillId="20" borderId="9" xfId="0" applyFont="1" applyFill="1" applyBorder="1" applyAlignment="1">
      <alignment horizontal="center" vertical="center" wrapText="1"/>
    </xf>
    <xf numFmtId="185" fontId="5" fillId="4" borderId="1" xfId="19" applyNumberFormat="1" applyFont="1" applyFill="1" applyBorder="1" applyAlignment="1" applyProtection="1">
      <alignment horizontal="center" vertical="center" wrapText="1"/>
      <protection/>
    </xf>
    <xf numFmtId="185" fontId="0" fillId="0" borderId="0" xfId="0" applyNumberFormat="1" applyAlignment="1">
      <alignment/>
    </xf>
    <xf numFmtId="164" fontId="57" fillId="20" borderId="9" xfId="0" applyFont="1" applyFill="1" applyBorder="1" applyAlignment="1">
      <alignment horizontal="center" vertical="center" wrapText="1"/>
    </xf>
    <xf numFmtId="179" fontId="9" fillId="5" borderId="1" xfId="0" applyNumberFormat="1" applyFont="1" applyFill="1" applyBorder="1" applyAlignment="1">
      <alignment horizontal="center"/>
    </xf>
    <xf numFmtId="179" fontId="8" fillId="0" borderId="0" xfId="0" applyNumberFormat="1" applyFont="1" applyAlignment="1">
      <alignment horizontal="right"/>
    </xf>
    <xf numFmtId="164" fontId="8" fillId="0" borderId="0" xfId="0" applyFont="1" applyAlignment="1">
      <alignment/>
    </xf>
    <xf numFmtId="164" fontId="8" fillId="0" borderId="0" xfId="0" applyFont="1" applyBorder="1" applyAlignment="1">
      <alignment/>
    </xf>
    <xf numFmtId="179" fontId="8" fillId="0" borderId="0" xfId="0" applyNumberFormat="1" applyFont="1" applyAlignment="1">
      <alignment/>
    </xf>
    <xf numFmtId="164" fontId="14" fillId="15" borderId="1" xfId="0" applyFont="1" applyFill="1" applyBorder="1" applyAlignment="1">
      <alignment/>
    </xf>
    <xf numFmtId="164" fontId="9" fillId="7" borderId="1" xfId="0" applyNumberFormat="1" applyFont="1" applyFill="1" applyBorder="1" applyAlignment="1">
      <alignment/>
    </xf>
    <xf numFmtId="164" fontId="14" fillId="20" borderId="8" xfId="0" applyFont="1" applyFill="1" applyBorder="1" applyAlignment="1">
      <alignment/>
    </xf>
    <xf numFmtId="167" fontId="9" fillId="4" borderId="1" xfId="19" applyFont="1" applyFill="1" applyBorder="1" applyAlignment="1" applyProtection="1">
      <alignment horizontal="center"/>
      <protection/>
    </xf>
    <xf numFmtId="164" fontId="14" fillId="21" borderId="1" xfId="0" applyFont="1" applyFill="1" applyBorder="1" applyAlignment="1">
      <alignment horizontal="center"/>
    </xf>
    <xf numFmtId="183" fontId="9" fillId="7" borderId="1" xfId="19" applyNumberFormat="1" applyFont="1" applyFill="1" applyBorder="1" applyAlignment="1" applyProtection="1">
      <alignment horizontal="center"/>
      <protection/>
    </xf>
    <xf numFmtId="164" fontId="58" fillId="2" borderId="20" xfId="0" applyFont="1" applyFill="1" applyBorder="1" applyAlignment="1">
      <alignment horizontal="center" vertical="center" wrapText="1"/>
    </xf>
    <xf numFmtId="164" fontId="59" fillId="2" borderId="9" xfId="0" applyFont="1" applyFill="1" applyBorder="1" applyAlignment="1">
      <alignment vertical="center" wrapText="1"/>
    </xf>
    <xf numFmtId="164" fontId="59" fillId="20" borderId="21" xfId="0" applyFont="1" applyFill="1" applyBorder="1" applyAlignment="1">
      <alignment horizontal="center" vertical="center" wrapText="1"/>
    </xf>
    <xf numFmtId="183" fontId="5" fillId="4" borderId="9" xfId="0" applyNumberFormat="1" applyFont="1" applyFill="1" applyBorder="1" applyAlignment="1">
      <alignment horizontal="center" vertical="center" wrapText="1"/>
    </xf>
    <xf numFmtId="164" fontId="59" fillId="15" borderId="21" xfId="0" applyFont="1" applyFill="1" applyBorder="1" applyAlignment="1">
      <alignment horizontal="center" vertical="center" wrapText="1"/>
    </xf>
    <xf numFmtId="183" fontId="5" fillId="15" borderId="9" xfId="0" applyNumberFormat="1" applyFont="1" applyFill="1" applyBorder="1" applyAlignment="1">
      <alignment horizontal="center" vertical="center" wrapText="1"/>
    </xf>
    <xf numFmtId="164" fontId="58" fillId="2" borderId="16" xfId="0" applyFont="1" applyFill="1" applyBorder="1" applyAlignment="1">
      <alignment horizontal="center" vertical="center" wrapText="1"/>
    </xf>
    <xf numFmtId="183" fontId="5" fillId="2" borderId="9" xfId="0" applyNumberFormat="1" applyFont="1" applyFill="1" applyBorder="1" applyAlignment="1">
      <alignment horizontal="center" vertical="center" wrapText="1"/>
    </xf>
    <xf numFmtId="164" fontId="13" fillId="8" borderId="1" xfId="0" applyFont="1" applyFill="1" applyBorder="1" applyAlignment="1">
      <alignment horizontal="center"/>
    </xf>
    <xf numFmtId="195" fontId="9" fillId="5" borderId="1" xfId="0" applyNumberFormat="1" applyFont="1" applyFill="1" applyBorder="1" applyAlignment="1">
      <alignment horizontal="center"/>
    </xf>
    <xf numFmtId="164" fontId="14" fillId="20" borderId="1" xfId="0" applyFont="1" applyFill="1" applyBorder="1" applyAlignment="1">
      <alignment horizontal="center"/>
    </xf>
    <xf numFmtId="189" fontId="9" fillId="4" borderId="1" xfId="19" applyNumberFormat="1" applyFont="1" applyFill="1" applyBorder="1" applyAlignment="1" applyProtection="1">
      <alignment horizontal="center"/>
      <protection/>
    </xf>
    <xf numFmtId="164" fontId="0" fillId="0" borderId="0" xfId="36">
      <alignment/>
      <protection/>
    </xf>
    <xf numFmtId="172" fontId="14" fillId="20" borderId="1" xfId="72" applyNumberFormat="1" applyFont="1" applyFill="1" applyBorder="1" applyAlignment="1" applyProtection="1">
      <alignment horizontal="center" vertical="center"/>
      <protection/>
    </xf>
    <xf numFmtId="196" fontId="11" fillId="4" borderId="1" xfId="41" applyNumberFormat="1" applyFont="1" applyFill="1" applyBorder="1" applyAlignment="1">
      <alignment horizontal="center" vertical="center"/>
      <protection/>
    </xf>
    <xf numFmtId="172" fontId="14" fillId="20" borderId="1" xfId="72" applyNumberFormat="1" applyFont="1" applyFill="1" applyBorder="1" applyAlignment="1" applyProtection="1">
      <alignment horizontal="center" vertical="center" wrapText="1"/>
      <protection/>
    </xf>
    <xf numFmtId="197" fontId="11" fillId="4" borderId="9" xfId="41" applyNumberFormat="1" applyFont="1" applyFill="1" applyBorder="1" applyAlignment="1">
      <alignment horizontal="center" vertical="center"/>
      <protection/>
    </xf>
    <xf numFmtId="174" fontId="1" fillId="4" borderId="1" xfId="41" applyNumberFormat="1" applyFill="1" applyBorder="1" applyAlignment="1">
      <alignment horizontal="center" vertical="center"/>
      <protection/>
    </xf>
    <xf numFmtId="164" fontId="25" fillId="0" borderId="0" xfId="20" applyNumberFormat="1" applyFont="1" applyFill="1" applyBorder="1" applyAlignment="1" applyProtection="1">
      <alignment horizontal="left" vertical="center"/>
      <protection/>
    </xf>
    <xf numFmtId="164" fontId="9" fillId="0" borderId="0" xfId="0" applyFont="1" applyAlignment="1">
      <alignment horizontal="right"/>
    </xf>
    <xf numFmtId="172" fontId="49" fillId="10" borderId="1" xfId="72" applyNumberFormat="1" applyFont="1" applyFill="1" applyBorder="1" applyAlignment="1" applyProtection="1">
      <alignment horizontal="center" vertical="center"/>
      <protection/>
    </xf>
    <xf numFmtId="172" fontId="14" fillId="10" borderId="1" xfId="72" applyNumberFormat="1" applyFont="1" applyFill="1" applyBorder="1" applyAlignment="1" applyProtection="1">
      <alignment horizontal="center" vertical="center"/>
      <protection/>
    </xf>
    <xf numFmtId="172" fontId="60" fillId="10" borderId="1" xfId="72" applyNumberFormat="1" applyFont="1" applyFill="1" applyBorder="1" applyAlignment="1" applyProtection="1">
      <alignment horizontal="center" vertical="center"/>
      <protection/>
    </xf>
    <xf numFmtId="185" fontId="1" fillId="4" borderId="1" xfId="19" applyNumberFormat="1" applyFont="1" applyFill="1" applyBorder="1" applyAlignment="1" applyProtection="1">
      <alignment horizontal="center" vertical="center"/>
      <protection/>
    </xf>
    <xf numFmtId="164" fontId="0" fillId="0" borderId="0" xfId="36" applyAlignment="1">
      <alignment horizontal="right"/>
      <protection/>
    </xf>
    <xf numFmtId="164" fontId="3" fillId="0" borderId="0" xfId="36" applyFont="1" applyAlignment="1">
      <alignment horizontal="right"/>
      <protection/>
    </xf>
    <xf numFmtId="164" fontId="19" fillId="3" borderId="1" xfId="0" applyFont="1" applyFill="1" applyBorder="1" applyAlignment="1">
      <alignment horizontal="center" wrapText="1"/>
    </xf>
    <xf numFmtId="164" fontId="3" fillId="0" borderId="0" xfId="36" applyFont="1" applyAlignment="1">
      <alignment/>
      <protection/>
    </xf>
    <xf numFmtId="164" fontId="61" fillId="0" borderId="0" xfId="36" applyFont="1">
      <alignment/>
      <protection/>
    </xf>
    <xf numFmtId="164" fontId="0" fillId="0" borderId="0" xfId="36" applyFont="1">
      <alignment/>
      <protection/>
    </xf>
    <xf numFmtId="164" fontId="9" fillId="5" borderId="2" xfId="36" applyFont="1" applyFill="1" applyBorder="1" applyAlignment="1">
      <alignment horizontal="center" vertical="center"/>
      <protection/>
    </xf>
    <xf numFmtId="164" fontId="34" fillId="0" borderId="0" xfId="36" applyFont="1">
      <alignment/>
      <protection/>
    </xf>
    <xf numFmtId="164" fontId="41" fillId="0" borderId="0" xfId="36" applyFont="1">
      <alignment/>
      <protection/>
    </xf>
    <xf numFmtId="164" fontId="41" fillId="0" borderId="0" xfId="36" applyFont="1" applyFill="1">
      <alignment/>
      <protection/>
    </xf>
    <xf numFmtId="164" fontId="8" fillId="0" borderId="3" xfId="36" applyFont="1" applyBorder="1">
      <alignment/>
      <protection/>
    </xf>
    <xf numFmtId="164" fontId="9" fillId="0" borderId="4" xfId="36" applyFont="1" applyBorder="1" applyAlignment="1">
      <alignment horizontal="center"/>
      <protection/>
    </xf>
    <xf numFmtId="164" fontId="11" fillId="0" borderId="4" xfId="36" applyFont="1" applyBorder="1" applyAlignment="1">
      <alignment horizontal="center"/>
      <protection/>
    </xf>
    <xf numFmtId="164" fontId="1" fillId="0" borderId="5" xfId="36" applyFont="1" applyBorder="1">
      <alignment/>
      <protection/>
    </xf>
    <xf numFmtId="167" fontId="0" fillId="0" borderId="0" xfId="36" applyNumberFormat="1" applyAlignment="1">
      <alignment/>
      <protection/>
    </xf>
    <xf numFmtId="164" fontId="8" fillId="0" borderId="6" xfId="36" applyFont="1" applyBorder="1">
      <alignment/>
      <protection/>
    </xf>
    <xf numFmtId="164" fontId="24" fillId="0" borderId="0" xfId="36" applyFont="1" applyBorder="1" applyAlignment="1">
      <alignment vertical="center"/>
      <protection/>
    </xf>
    <xf numFmtId="164" fontId="1" fillId="0" borderId="7" xfId="36" applyFont="1" applyBorder="1">
      <alignment/>
      <protection/>
    </xf>
    <xf numFmtId="164" fontId="41" fillId="0" borderId="0" xfId="36" applyFont="1" applyFill="1" applyAlignment="1">
      <alignment horizontal="center"/>
      <protection/>
    </xf>
    <xf numFmtId="167" fontId="41" fillId="0" borderId="0" xfId="36" applyNumberFormat="1" applyFont="1" applyFill="1" applyAlignment="1">
      <alignment horizontal="center"/>
      <protection/>
    </xf>
    <xf numFmtId="185" fontId="60" fillId="0" borderId="0" xfId="19" applyNumberFormat="1" applyFont="1" applyFill="1" applyBorder="1" applyAlignment="1" applyProtection="1">
      <alignment horizontal="center" vertical="center"/>
      <protection/>
    </xf>
    <xf numFmtId="198" fontId="41" fillId="0" borderId="0" xfId="36" applyNumberFormat="1" applyFont="1" applyFill="1">
      <alignment/>
      <protection/>
    </xf>
    <xf numFmtId="164" fontId="8" fillId="0" borderId="10" xfId="36" applyFont="1" applyBorder="1">
      <alignment/>
      <protection/>
    </xf>
    <xf numFmtId="164" fontId="8" fillId="0" borderId="11" xfId="36" applyFont="1" applyBorder="1">
      <alignment/>
      <protection/>
    </xf>
    <xf numFmtId="164" fontId="1" fillId="0" borderId="11" xfId="36" applyFont="1" applyBorder="1">
      <alignment/>
      <protection/>
    </xf>
    <xf numFmtId="164" fontId="1" fillId="0" borderId="12" xfId="36" applyFont="1" applyBorder="1">
      <alignment/>
      <protection/>
    </xf>
    <xf numFmtId="164" fontId="41" fillId="0" borderId="0" xfId="36" applyFont="1" applyBorder="1">
      <alignment/>
      <protection/>
    </xf>
    <xf numFmtId="167" fontId="41" fillId="0" borderId="0" xfId="36" applyNumberFormat="1" applyFont="1" applyFill="1" applyBorder="1" applyAlignment="1">
      <alignment horizontal="center"/>
      <protection/>
    </xf>
    <xf numFmtId="164" fontId="41" fillId="0" borderId="0" xfId="36" applyFont="1" applyFill="1" applyBorder="1">
      <alignment/>
      <protection/>
    </xf>
    <xf numFmtId="185" fontId="41" fillId="0" borderId="0" xfId="19" applyNumberFormat="1" applyFont="1" applyFill="1" applyBorder="1" applyAlignment="1" applyProtection="1">
      <alignment horizontal="center"/>
      <protection/>
    </xf>
    <xf numFmtId="164" fontId="41" fillId="0" borderId="0" xfId="36" applyFont="1" applyFill="1" applyBorder="1" applyAlignment="1">
      <alignment horizontal="center"/>
      <protection/>
    </xf>
    <xf numFmtId="167" fontId="41" fillId="0" borderId="0" xfId="36" applyNumberFormat="1" applyFont="1" applyFill="1" applyBorder="1" applyAlignment="1">
      <alignment vertical="center" wrapText="1"/>
      <protection/>
    </xf>
    <xf numFmtId="198" fontId="41" fillId="0" borderId="0" xfId="53" applyNumberFormat="1" applyFont="1" applyFill="1" applyBorder="1" applyAlignment="1" applyProtection="1">
      <alignment horizontal="center"/>
      <protection/>
    </xf>
    <xf numFmtId="198" fontId="41" fillId="0" borderId="0" xfId="36" applyNumberFormat="1" applyFont="1" applyFill="1" applyBorder="1" applyAlignment="1">
      <alignment horizontal="center"/>
      <protection/>
    </xf>
    <xf numFmtId="164" fontId="61" fillId="0" borderId="0" xfId="36" applyFont="1" applyBorder="1">
      <alignment/>
      <protection/>
    </xf>
    <xf numFmtId="167" fontId="61" fillId="0" borderId="0" xfId="36" applyNumberFormat="1" applyFont="1" applyFill="1" applyBorder="1" applyAlignment="1">
      <alignment vertical="center" wrapText="1"/>
      <protection/>
    </xf>
    <xf numFmtId="164" fontId="61" fillId="0" borderId="0" xfId="36" applyFont="1" applyFill="1" applyBorder="1">
      <alignment/>
      <protection/>
    </xf>
    <xf numFmtId="198" fontId="61" fillId="0" borderId="0" xfId="53" applyNumberFormat="1" applyFont="1" applyFill="1" applyBorder="1" applyAlignment="1" applyProtection="1">
      <alignment horizontal="center"/>
      <protection/>
    </xf>
    <xf numFmtId="198" fontId="61" fillId="0" borderId="0" xfId="36" applyNumberFormat="1" applyFont="1" applyFill="1" applyBorder="1" applyAlignment="1">
      <alignment horizontal="center"/>
      <protection/>
    </xf>
    <xf numFmtId="164" fontId="62" fillId="0" borderId="3" xfId="36" applyFont="1" applyBorder="1" applyAlignment="1">
      <alignment horizontal="center"/>
      <protection/>
    </xf>
    <xf numFmtId="164" fontId="62" fillId="0" borderId="4" xfId="36" applyFont="1" applyBorder="1" applyAlignment="1">
      <alignment horizontal="center"/>
      <protection/>
    </xf>
    <xf numFmtId="164" fontId="62" fillId="0" borderId="5" xfId="36" applyFont="1" applyBorder="1" applyAlignment="1">
      <alignment horizontal="center"/>
      <protection/>
    </xf>
    <xf numFmtId="185" fontId="23" fillId="0" borderId="6" xfId="53" applyNumberFormat="1" applyFont="1" applyFill="1" applyBorder="1" applyAlignment="1" applyProtection="1">
      <alignment horizontal="center" vertical="center"/>
      <protection/>
    </xf>
    <xf numFmtId="185" fontId="23" fillId="0" borderId="0" xfId="53" applyNumberFormat="1" applyFont="1" applyFill="1" applyBorder="1" applyAlignment="1" applyProtection="1">
      <alignment horizontal="center" vertical="center"/>
      <protection/>
    </xf>
    <xf numFmtId="185" fontId="23" fillId="0" borderId="7" xfId="53" applyNumberFormat="1" applyFont="1" applyFill="1" applyBorder="1" applyAlignment="1" applyProtection="1">
      <alignment horizontal="center" vertical="center"/>
      <protection/>
    </xf>
    <xf numFmtId="164" fontId="61" fillId="0" borderId="0" xfId="36" applyFont="1" applyFill="1">
      <alignment/>
      <protection/>
    </xf>
    <xf numFmtId="164" fontId="63" fillId="0" borderId="25" xfId="36" applyFont="1" applyBorder="1" applyAlignment="1">
      <alignment horizontal="center" wrapText="1"/>
      <protection/>
    </xf>
    <xf numFmtId="164" fontId="14" fillId="20" borderId="1" xfId="36" applyFont="1" applyFill="1" applyBorder="1" applyAlignment="1">
      <alignment horizontal="center"/>
      <protection/>
    </xf>
    <xf numFmtId="185" fontId="9" fillId="4" borderId="1" xfId="60" applyNumberFormat="1" applyFont="1" applyFill="1" applyBorder="1" applyAlignment="1" applyProtection="1">
      <alignment horizontal="center"/>
      <protection/>
    </xf>
    <xf numFmtId="164" fontId="34" fillId="0" borderId="0" xfId="36" applyFont="1" applyBorder="1">
      <alignment/>
      <protection/>
    </xf>
    <xf numFmtId="164" fontId="14" fillId="8" borderId="1" xfId="36" applyFont="1" applyFill="1" applyBorder="1" applyAlignment="1">
      <alignment horizontal="center"/>
      <protection/>
    </xf>
    <xf numFmtId="199" fontId="11" fillId="7" borderId="1" xfId="72" applyNumberFormat="1" applyFont="1" applyFill="1" applyBorder="1" applyAlignment="1" applyProtection="1">
      <alignment horizontal="center" vertical="center"/>
      <protection/>
    </xf>
    <xf numFmtId="164" fontId="0" fillId="0" borderId="0" xfId="36" applyAlignment="1">
      <alignment horizontal="center" vertical="center"/>
      <protection/>
    </xf>
    <xf numFmtId="164" fontId="39" fillId="0" borderId="0" xfId="0" applyFont="1" applyAlignment="1">
      <alignment horizontal="left" vertical="center"/>
    </xf>
    <xf numFmtId="164" fontId="3" fillId="0" borderId="0" xfId="36" applyFont="1" applyAlignment="1">
      <alignment horizontal="right" vertical="center"/>
      <protection/>
    </xf>
    <xf numFmtId="164" fontId="3" fillId="0" borderId="0" xfId="36" applyFont="1" applyAlignment="1">
      <alignment horizontal="left" vertical="center"/>
      <protection/>
    </xf>
    <xf numFmtId="164" fontId="8" fillId="0" borderId="3" xfId="36" applyFont="1" applyBorder="1" applyAlignment="1">
      <alignment horizontal="center" vertical="center"/>
      <protection/>
    </xf>
    <xf numFmtId="164" fontId="8" fillId="0" borderId="5" xfId="36" applyFont="1" applyBorder="1">
      <alignment/>
      <protection/>
    </xf>
    <xf numFmtId="164" fontId="8" fillId="0" borderId="6" xfId="36" applyFont="1" applyBorder="1" applyAlignment="1">
      <alignment horizontal="center" vertical="center"/>
      <protection/>
    </xf>
    <xf numFmtId="164" fontId="10" fillId="0" borderId="0" xfId="36" applyFont="1" applyBorder="1" applyAlignment="1">
      <alignment vertical="center"/>
      <protection/>
    </xf>
    <xf numFmtId="164" fontId="8" fillId="0" borderId="7" xfId="36" applyFont="1" applyBorder="1">
      <alignment/>
      <protection/>
    </xf>
    <xf numFmtId="164" fontId="67" fillId="16" borderId="1" xfId="36" applyFont="1" applyFill="1" applyBorder="1" applyAlignment="1">
      <alignment horizontal="center" vertical="center"/>
      <protection/>
    </xf>
    <xf numFmtId="164" fontId="67" fillId="16" borderId="1" xfId="36" applyFont="1" applyFill="1" applyBorder="1" applyAlignment="1">
      <alignment horizontal="center" vertical="center" wrapText="1"/>
      <protection/>
    </xf>
    <xf numFmtId="164" fontId="8" fillId="0" borderId="10" xfId="36" applyFont="1" applyBorder="1" applyAlignment="1">
      <alignment horizontal="center" vertical="center"/>
      <protection/>
    </xf>
    <xf numFmtId="164" fontId="8" fillId="0" borderId="12" xfId="36" applyFont="1" applyBorder="1">
      <alignment/>
      <protection/>
    </xf>
    <xf numFmtId="164" fontId="68" fillId="0" borderId="1" xfId="36" applyFont="1" applyBorder="1" applyAlignment="1">
      <alignment horizontal="center" vertical="center" wrapText="1"/>
      <protection/>
    </xf>
    <xf numFmtId="164" fontId="68" fillId="0" borderId="1" xfId="36" applyFont="1" applyFill="1" applyBorder="1" applyAlignment="1">
      <alignment horizontal="center" vertical="center" wrapText="1"/>
      <protection/>
    </xf>
    <xf numFmtId="164" fontId="41" fillId="0" borderId="0" xfId="36" applyFont="1" applyAlignment="1">
      <alignment vertical="center"/>
      <protection/>
    </xf>
    <xf numFmtId="164" fontId="41" fillId="0" borderId="0" xfId="36" applyFont="1" applyAlignment="1">
      <alignment horizontal="center" vertical="center"/>
      <protection/>
    </xf>
    <xf numFmtId="164" fontId="0" fillId="6" borderId="1" xfId="36" applyFill="1" applyBorder="1" applyAlignment="1">
      <alignment horizontal="center" vertical="center"/>
      <protection/>
    </xf>
    <xf numFmtId="164" fontId="68" fillId="6" borderId="1" xfId="36" applyFont="1" applyFill="1" applyBorder="1" applyAlignment="1">
      <alignment horizontal="center" vertical="center" wrapText="1"/>
      <protection/>
    </xf>
    <xf numFmtId="164" fontId="41" fillId="0" borderId="13" xfId="36" applyFont="1" applyBorder="1" applyAlignment="1">
      <alignment horizontal="center" vertical="center"/>
      <protection/>
    </xf>
    <xf numFmtId="164" fontId="41" fillId="0" borderId="0" xfId="36" applyFont="1" applyBorder="1" applyAlignment="1">
      <alignment horizontal="center" vertical="center"/>
      <protection/>
    </xf>
    <xf numFmtId="164" fontId="68" fillId="0" borderId="16" xfId="36" applyFont="1" applyBorder="1" applyAlignment="1">
      <alignment horizontal="center" vertical="center" wrapText="1"/>
      <protection/>
    </xf>
    <xf numFmtId="164" fontId="68" fillId="0" borderId="20" xfId="36" applyFont="1" applyBorder="1" applyAlignment="1">
      <alignment horizontal="center" vertical="center" wrapText="1"/>
      <protection/>
    </xf>
    <xf numFmtId="164" fontId="68" fillId="0" borderId="8" xfId="36" applyFont="1" applyBorder="1" applyAlignment="1">
      <alignment horizontal="center" vertical="center" wrapText="1"/>
      <protection/>
    </xf>
    <xf numFmtId="164" fontId="68" fillId="0" borderId="0" xfId="36" applyFont="1" applyBorder="1" applyAlignment="1">
      <alignment horizontal="center" vertical="center" wrapText="1"/>
      <protection/>
    </xf>
    <xf numFmtId="164" fontId="69" fillId="0" borderId="0" xfId="36" applyFont="1" applyBorder="1" applyAlignment="1">
      <alignment horizontal="center" vertical="center" wrapText="1"/>
      <protection/>
    </xf>
    <xf numFmtId="164" fontId="69" fillId="0" borderId="0" xfId="36" applyFont="1" applyFill="1" applyBorder="1" applyAlignment="1">
      <alignment horizontal="center" vertical="center" wrapText="1"/>
      <protection/>
    </xf>
    <xf numFmtId="164" fontId="69" fillId="0" borderId="0" xfId="36" applyFont="1" applyBorder="1" applyAlignment="1">
      <alignment horizontal="center" vertical="center"/>
      <protection/>
    </xf>
    <xf numFmtId="164" fontId="68" fillId="0" borderId="0" xfId="36" applyFont="1" applyBorder="1" applyAlignment="1">
      <alignment vertical="top" wrapText="1"/>
      <protection/>
    </xf>
    <xf numFmtId="164" fontId="68" fillId="0" borderId="1" xfId="36" applyFont="1" applyFill="1" applyBorder="1" applyAlignment="1">
      <alignment horizontal="center" vertical="center"/>
      <protection/>
    </xf>
    <xf numFmtId="164" fontId="0" fillId="0" borderId="1" xfId="36" applyFont="1" applyFill="1" applyBorder="1" applyAlignment="1">
      <alignment horizontal="center"/>
      <protection/>
    </xf>
    <xf numFmtId="164" fontId="68" fillId="0" borderId="1" xfId="0" applyFont="1" applyFill="1" applyBorder="1" applyAlignment="1">
      <alignment vertical="top" wrapText="1"/>
    </xf>
    <xf numFmtId="164" fontId="0" fillId="0" borderId="1" xfId="36" applyNumberFormat="1" applyBorder="1" applyAlignment="1">
      <alignment horizontal="center"/>
      <protection/>
    </xf>
    <xf numFmtId="185" fontId="0" fillId="0" borderId="1" xfId="36" applyNumberFormat="1" applyFont="1" applyFill="1" applyBorder="1" applyAlignment="1">
      <alignment horizontal="center"/>
      <protection/>
    </xf>
    <xf numFmtId="174" fontId="0" fillId="0" borderId="1" xfId="36" applyNumberFormat="1" applyFont="1" applyFill="1" applyBorder="1">
      <alignment/>
      <protection/>
    </xf>
    <xf numFmtId="164" fontId="68" fillId="0" borderId="1" xfId="0" applyFont="1" applyFill="1" applyBorder="1" applyAlignment="1">
      <alignment horizontal="left" vertical="center" wrapText="1"/>
    </xf>
    <xf numFmtId="164" fontId="68" fillId="0" borderId="1" xfId="0" applyFont="1" applyFill="1" applyBorder="1" applyAlignment="1">
      <alignment horizontal="left" vertical="top" wrapText="1"/>
    </xf>
    <xf numFmtId="200" fontId="0" fillId="0" borderId="1" xfId="36" applyNumberFormat="1" applyBorder="1" applyAlignment="1">
      <alignment horizontal="center"/>
      <protection/>
    </xf>
    <xf numFmtId="164" fontId="68" fillId="0" borderId="0" xfId="36" applyFont="1" applyBorder="1" applyAlignment="1">
      <alignment horizontal="left" vertical="top" wrapText="1"/>
      <protection/>
    </xf>
    <xf numFmtId="201" fontId="0" fillId="0" borderId="0" xfId="36" applyNumberFormat="1" applyFill="1" applyBorder="1" applyAlignment="1">
      <alignment horizontal="center"/>
      <protection/>
    </xf>
    <xf numFmtId="185" fontId="0" fillId="0" borderId="0" xfId="36" applyNumberFormat="1" applyFill="1" applyBorder="1" applyAlignment="1">
      <alignment horizontal="center"/>
      <protection/>
    </xf>
    <xf numFmtId="174" fontId="0" fillId="0" borderId="0" xfId="36" applyNumberFormat="1" applyFill="1" applyBorder="1">
      <alignment/>
      <protection/>
    </xf>
    <xf numFmtId="164" fontId="0" fillId="0" borderId="1" xfId="36" applyFont="1" applyBorder="1">
      <alignment/>
      <protection/>
    </xf>
    <xf numFmtId="167" fontId="0" fillId="0" borderId="1" xfId="49" applyNumberFormat="1" applyFont="1" applyFill="1" applyBorder="1" applyAlignment="1" applyProtection="1">
      <alignment horizontal="center"/>
      <protection/>
    </xf>
    <xf numFmtId="172" fontId="11" fillId="7" borderId="1" xfId="72" applyNumberFormat="1" applyFont="1" applyFill="1" applyBorder="1" applyAlignment="1" applyProtection="1">
      <alignment horizontal="center" vertical="center"/>
      <protection/>
    </xf>
    <xf numFmtId="167" fontId="0" fillId="0" borderId="1" xfId="36" applyNumberFormat="1" applyFont="1" applyFill="1" applyBorder="1" applyAlignment="1">
      <alignment horizontal="center"/>
      <protection/>
    </xf>
    <xf numFmtId="202" fontId="11" fillId="7" borderId="1" xfId="72" applyNumberFormat="1" applyFont="1" applyFill="1" applyBorder="1" applyAlignment="1" applyProtection="1">
      <alignment horizontal="center" vertical="center"/>
      <protection/>
    </xf>
    <xf numFmtId="167" fontId="0" fillId="0" borderId="1" xfId="36" applyNumberFormat="1" applyFont="1" applyBorder="1" applyAlignment="1">
      <alignment horizontal="center"/>
      <protection/>
    </xf>
    <xf numFmtId="164" fontId="18" fillId="0" borderId="0" xfId="0" applyFont="1" applyAlignment="1">
      <alignment horizontal="center" vertical="center"/>
    </xf>
    <xf numFmtId="164" fontId="50" fillId="0" borderId="0" xfId="0" applyFont="1" applyAlignment="1">
      <alignment horizontal="center"/>
    </xf>
    <xf numFmtId="174" fontId="18" fillId="2" borderId="0" xfId="0" applyNumberFormat="1" applyFont="1" applyFill="1" applyAlignment="1">
      <alignment horizontal="center" vertical="center"/>
    </xf>
    <xf numFmtId="164" fontId="65" fillId="2" borderId="1" xfId="0" applyFont="1" applyFill="1" applyBorder="1" applyAlignment="1">
      <alignment horizontal="center" vertical="center" wrapText="1"/>
    </xf>
    <xf numFmtId="164" fontId="65" fillId="2" borderId="1" xfId="0" applyFont="1" applyFill="1" applyBorder="1" applyAlignment="1">
      <alignment horizontal="center" vertical="center"/>
    </xf>
    <xf numFmtId="174" fontId="65" fillId="2" borderId="1" xfId="0" applyNumberFormat="1" applyFont="1" applyFill="1" applyBorder="1" applyAlignment="1">
      <alignment horizontal="center" vertical="center"/>
    </xf>
    <xf numFmtId="164" fontId="65" fillId="2" borderId="16" xfId="0" applyFont="1" applyFill="1" applyBorder="1" applyAlignment="1">
      <alignment horizontal="center" vertical="center"/>
    </xf>
    <xf numFmtId="164" fontId="20" fillId="2" borderId="16" xfId="34" applyFont="1" applyFill="1" applyBorder="1" applyAlignment="1">
      <alignment horizontal="center" vertical="center"/>
      <protection/>
    </xf>
    <xf numFmtId="164" fontId="64" fillId="0" borderId="1" xfId="0" applyFont="1" applyBorder="1" applyAlignment="1">
      <alignment horizontal="center"/>
    </xf>
    <xf numFmtId="198" fontId="18" fillId="2" borderId="1" xfId="0" applyNumberFormat="1" applyFont="1" applyFill="1" applyBorder="1" applyAlignment="1">
      <alignment horizontal="center" vertical="center"/>
    </xf>
    <xf numFmtId="185" fontId="18" fillId="2" borderId="1" xfId="49" applyNumberFormat="1" applyFont="1" applyFill="1" applyBorder="1" applyAlignment="1" applyProtection="1">
      <alignment horizontal="center" vertical="center"/>
      <protection/>
    </xf>
    <xf numFmtId="203" fontId="18" fillId="2" borderId="1" xfId="36" applyNumberFormat="1" applyFont="1" applyFill="1" applyBorder="1" applyAlignment="1">
      <alignment horizontal="center" vertical="center"/>
      <protection/>
    </xf>
    <xf numFmtId="164" fontId="18" fillId="2" borderId="1" xfId="34" applyFont="1" applyFill="1" applyBorder="1" applyAlignment="1">
      <alignment horizontal="center" vertical="center" wrapText="1"/>
      <protection/>
    </xf>
    <xf numFmtId="164" fontId="18" fillId="2" borderId="1" xfId="34" applyFont="1" applyFill="1" applyBorder="1" applyAlignment="1">
      <alignment horizontal="center" wrapText="1"/>
      <protection/>
    </xf>
    <xf numFmtId="164" fontId="64" fillId="0" borderId="1" xfId="0" applyFont="1" applyBorder="1" applyAlignment="1">
      <alignment horizontal="center" vertical="center"/>
    </xf>
    <xf numFmtId="164" fontId="18" fillId="2" borderId="1" xfId="34" applyFont="1" applyFill="1" applyBorder="1" applyAlignment="1">
      <alignment horizontal="center" vertical="center"/>
      <protection/>
    </xf>
    <xf numFmtId="164" fontId="39" fillId="0" borderId="0" xfId="0" applyFont="1" applyAlignment="1">
      <alignment horizontal="center" vertical="center"/>
    </xf>
    <xf numFmtId="164" fontId="39" fillId="2" borderId="0" xfId="0" applyFont="1" applyFill="1" applyAlignment="1">
      <alignment/>
    </xf>
    <xf numFmtId="165" fontId="0" fillId="6" borderId="1" xfId="21" applyFont="1" applyFill="1" applyBorder="1" applyAlignment="1" applyProtection="1">
      <alignment/>
      <protection locked="0"/>
    </xf>
    <xf numFmtId="165" fontId="0" fillId="2" borderId="0" xfId="21" applyFont="1" applyFill="1" applyBorder="1" applyAlignment="1" applyProtection="1">
      <alignment/>
      <protection locked="0"/>
    </xf>
    <xf numFmtId="164" fontId="39" fillId="2" borderId="0" xfId="0" applyFont="1" applyFill="1" applyAlignment="1">
      <alignment horizontal="right"/>
    </xf>
    <xf numFmtId="165" fontId="0" fillId="7" borderId="1" xfId="17" applyFont="1" applyFill="1" applyBorder="1" applyAlignment="1" applyProtection="1">
      <alignment/>
      <protection/>
    </xf>
    <xf numFmtId="164" fontId="0" fillId="2" borderId="0" xfId="0" applyFill="1" applyAlignment="1">
      <alignment horizontal="right"/>
    </xf>
    <xf numFmtId="165" fontId="0" fillId="6" borderId="1" xfId="17" applyFont="1" applyFill="1" applyBorder="1" applyAlignment="1" applyProtection="1">
      <alignment/>
      <protection/>
    </xf>
    <xf numFmtId="164" fontId="0" fillId="2" borderId="0" xfId="0" applyFont="1" applyFill="1" applyAlignment="1">
      <alignment/>
    </xf>
    <xf numFmtId="164" fontId="39" fillId="0" borderId="1" xfId="0" applyFont="1" applyBorder="1" applyAlignment="1">
      <alignment horizontal="right"/>
    </xf>
    <xf numFmtId="165" fontId="39" fillId="7" borderId="1" xfId="17" applyFont="1" applyFill="1" applyBorder="1" applyAlignment="1" applyProtection="1">
      <alignment/>
      <protection/>
    </xf>
  </cellXfs>
  <cellStyles count="80">
    <cellStyle name="Normal" xfId="0"/>
    <cellStyle name="Comma" xfId="15"/>
    <cellStyle name="Comma [0]" xfId="16"/>
    <cellStyle name="Currency" xfId="17"/>
    <cellStyle name="Currency [0]" xfId="18"/>
    <cellStyle name="Percent" xfId="19"/>
    <cellStyle name="Hyperlink" xfId="20"/>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s>
  <dxfs count="6">
    <dxf>
      <fill>
        <patternFill patternType="solid">
          <fgColor rgb="FF9999FF"/>
          <bgColor rgb="FFCC99FF"/>
        </patternFill>
      </fill>
      <border/>
    </dxf>
    <dxf>
      <fill>
        <patternFill patternType="solid">
          <fgColor rgb="FFCCFFFF"/>
          <bgColor rgb="FFCCFFCC"/>
        </patternFill>
      </fill>
      <border/>
    </dxf>
    <dxf>
      <fill>
        <patternFill patternType="solid">
          <fgColor rgb="FFFF8080"/>
          <bgColor rgb="FFFF99CC"/>
        </patternFill>
      </fill>
      <border/>
    </dxf>
    <dxf>
      <fill>
        <patternFill patternType="solid">
          <fgColor rgb="FF33CCCC"/>
          <bgColor rgb="FF00FF00"/>
        </patternFill>
      </fill>
      <border/>
    </dxf>
    <dxf>
      <fill>
        <patternFill patternType="solid">
          <fgColor rgb="FFFF99CC"/>
          <bgColor rgb="FFFF8080"/>
        </patternFill>
      </fill>
      <border/>
    </dxf>
    <dxf>
      <fill>
        <patternFill patternType="solid">
          <fgColor rgb="FF800080"/>
          <bgColor rgb="FF800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
          <c:w val="0.7555"/>
          <c:h val="0.90375"/>
        </c:manualLayout>
      </c:layout>
      <c:scatterChart>
        <c:scatterStyle val="lineMarker"/>
        <c:varyColors val="0"/>
        <c:ser>
          <c:idx val="0"/>
          <c:order val="0"/>
          <c:tx>
            <c:strRef>
              <c:f>'A.XV. RPS (Simplificado)'!$Q$17:$Q$19</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66699"/>
              </a:solidFill>
              <a:ln>
                <a:solidFill>
                  <a:srgbClr val="666699"/>
                </a:solidFill>
              </a:ln>
            </c:spPr>
          </c:marker>
          <c:yVal>
            <c:numRef>
              <c:f>'A.XV. RPS (Simplificado)'!$T$17:$T$19</c:f>
              <c:numCache/>
            </c:numRef>
          </c:yVal>
          <c:smooth val="0"/>
        </c:ser>
        <c:ser>
          <c:idx val="1"/>
          <c:order val="1"/>
          <c:tx>
            <c:strRef>
              <c:f>'A.XV. RPS (Simplificado)'!$Q$20:$Q$22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yVal>
            <c:numRef>
              <c:f>'A.XV. RPS (Simplificado)'!$T$20:$T$22</c:f>
              <c:numCache/>
            </c:numRef>
          </c:yVal>
          <c:smooth val="0"/>
        </c:ser>
        <c:ser>
          <c:idx val="2"/>
          <c:order val="2"/>
          <c:tx>
            <c:strRef>
              <c:f>'A.XV. RPS (Simplificado)'!$Q$23:$Q$25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FFFF"/>
                </a:solidFill>
              </a:ln>
            </c:spPr>
          </c:marker>
          <c:yVal>
            <c:numRef>
              <c:f>'A.XV. RPS (Simplificado)'!$T$23:$T$25</c:f>
              <c:numCache/>
            </c:numRef>
          </c:yVal>
          <c:smooth val="0"/>
        </c:ser>
        <c:axId val="8456957"/>
        <c:axId val="9003750"/>
      </c:scatterChart>
      <c:valAx>
        <c:axId val="8456957"/>
        <c:scaling>
          <c:orientation val="minMax"/>
        </c:scaling>
        <c:axPos val="b"/>
        <c:title>
          <c:tx>
            <c:rich>
              <a:bodyPr vert="horz" rot="0" anchor="ctr"/>
              <a:lstStyle/>
              <a:p>
                <a:pPr algn="ctr">
                  <a:defRPr/>
                </a:pPr>
                <a:r>
                  <a:rPr lang="en-US" cap="none" sz="1000" b="1" i="0" u="none" baseline="0">
                    <a:solidFill>
                      <a:srgbClr val="000000"/>
                    </a:solidFill>
                  </a:rPr>
                  <a:t>Risco a ser assumido (%)</a:t>
                </a:r>
              </a:p>
            </c:rich>
          </c:tx>
          <c:layout/>
          <c:overlay val="0"/>
          <c:spPr>
            <a:noFill/>
            <a:ln>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003750"/>
        <c:crossesAt val="0"/>
        <c:crossBetween val="midCat"/>
        <c:dispUnits/>
      </c:valAx>
      <c:valAx>
        <c:axId val="9003750"/>
        <c:scaling>
          <c:orientation val="minMax"/>
          <c:max val="0.15000000000000002"/>
          <c:min val="0"/>
        </c:scaling>
        <c:axPos val="l"/>
        <c:title>
          <c:tx>
            <c:rich>
              <a:bodyPr vert="horz" rot="-5400000" anchor="ctr"/>
              <a:lstStyle/>
              <a:p>
                <a:pPr algn="ctr">
                  <a:defRPr/>
                </a:pPr>
                <a:r>
                  <a:rPr lang="en-US" cap="none" sz="1000" b="1" i="0" u="none" baseline="0">
                    <a:solidFill>
                      <a:srgbClr val="000000"/>
                    </a:solidFill>
                  </a:rPr>
                  <a:t>Coeficiente do RPS (Ɣ)</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456957"/>
        <c:crossesAt val="0"/>
        <c:crossBetween val="midCat"/>
        <c:dispUnits/>
      </c:valAx>
      <c:spPr>
        <a:ln w="3175">
          <a:noFill/>
        </a:ln>
      </c:spPr>
    </c:plotArea>
    <c:legend>
      <c:legendPos val="r"/>
      <c:layout>
        <c:manualLayout>
          <c:xMode val="edge"/>
          <c:yMode val="edge"/>
          <c:x val="0.8095"/>
          <c:y val="0.29975"/>
          <c:w val="0.16975"/>
          <c:h val="0.36075"/>
        </c:manualLayout>
      </c:layout>
      <c:overlay val="0"/>
      <c:spPr>
        <a:noFill/>
        <a:ln w="3175">
          <a:noFill/>
        </a:ln>
      </c:spPr>
      <c:txPr>
        <a:bodyPr vert="horz" rot="0"/>
        <a:lstStyle/>
        <a:p>
          <a:pPr>
            <a:defRPr lang="en-US" cap="none" sz="255"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0</xdr:row>
      <xdr:rowOff>28575</xdr:rowOff>
    </xdr:from>
    <xdr:to>
      <xdr:col>19</xdr:col>
      <xdr:colOff>257175</xdr:colOff>
      <xdr:row>29</xdr:row>
      <xdr:rowOff>152400</xdr:rowOff>
    </xdr:to>
    <xdr:pic>
      <xdr:nvPicPr>
        <xdr:cNvPr id="1" name="Imagem 2"/>
        <xdr:cNvPicPr preferRelativeResize="1">
          <a:picLocks noChangeAspect="1"/>
        </xdr:cNvPicPr>
      </xdr:nvPicPr>
      <xdr:blipFill>
        <a:blip r:embed="rId1"/>
        <a:stretch>
          <a:fillRect/>
        </a:stretch>
      </xdr:blipFill>
      <xdr:spPr>
        <a:xfrm>
          <a:off x="9810750" y="28575"/>
          <a:ext cx="4305300" cy="5924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9525</xdr:rowOff>
    </xdr:from>
    <xdr:to>
      <xdr:col>8</xdr:col>
      <xdr:colOff>581025</xdr:colOff>
      <xdr:row>25</xdr:row>
      <xdr:rowOff>47625</xdr:rowOff>
    </xdr:to>
    <xdr:graphicFrame>
      <xdr:nvGraphicFramePr>
        <xdr:cNvPr id="1" name="Chart 1"/>
        <xdr:cNvGraphicFramePr/>
      </xdr:nvGraphicFramePr>
      <xdr:xfrm>
        <a:off x="295275" y="1209675"/>
        <a:ext cx="6343650"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os\Downloads\Matheus\Projeto%20Apresentar\Planilha%20Janeiro%2023%20-%20usando%20notas\Planilha%2050.000km%20-%20%20Janeiro-23%20usando%20n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7">
        <row r="99">
          <cell r="F99">
            <v>0</v>
          </cell>
        </row>
        <row r="101">
          <cell r="F10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0"/>
  </sheetPr>
  <dimension ref="A1:X40"/>
  <sheetViews>
    <sheetView workbookViewId="0" topLeftCell="A1">
      <selection activeCell="H18" sqref="H18"/>
    </sheetView>
  </sheetViews>
  <sheetFormatPr defaultColWidth="9.140625" defaultRowHeight="12.75"/>
  <cols>
    <col min="1" max="1" width="21.421875" style="1" customWidth="1"/>
    <col min="2" max="2" width="2.421875" style="1" customWidth="1"/>
    <col min="3" max="3" width="11.421875" style="1" customWidth="1"/>
    <col min="4" max="4" width="1.1484375" style="1" customWidth="1"/>
    <col min="5" max="16384" width="11.421875" style="1" customWidth="1"/>
  </cols>
  <sheetData>
    <row r="1" spans="1:24" ht="15.75">
      <c r="A1" s="2" t="s">
        <v>0</v>
      </c>
      <c r="B1" s="2"/>
      <c r="C1" s="2"/>
      <c r="D1" s="2"/>
      <c r="E1" s="2"/>
      <c r="F1" s="2"/>
      <c r="G1" s="2"/>
      <c r="H1" s="2"/>
      <c r="I1" s="2"/>
      <c r="J1" s="2"/>
      <c r="K1" s="2"/>
      <c r="L1" s="2"/>
      <c r="M1" s="3"/>
      <c r="N1" s="3"/>
      <c r="O1" s="3"/>
      <c r="P1" s="3"/>
      <c r="Q1" s="3"/>
      <c r="R1" s="3"/>
      <c r="S1" s="3"/>
      <c r="T1" s="3"/>
      <c r="U1" s="3"/>
      <c r="V1" s="3"/>
      <c r="W1" s="3"/>
      <c r="X1" s="3"/>
    </row>
    <row r="2" spans="1:24" ht="15.75">
      <c r="A2" s="3"/>
      <c r="B2" s="3"/>
      <c r="C2" s="3"/>
      <c r="D2" s="3"/>
      <c r="E2" s="3"/>
      <c r="F2" s="3"/>
      <c r="G2" s="3"/>
      <c r="H2" s="3"/>
      <c r="I2" s="3"/>
      <c r="J2" s="3"/>
      <c r="K2" s="3"/>
      <c r="L2" s="3"/>
      <c r="M2" s="3"/>
      <c r="N2" s="3"/>
      <c r="O2" s="3"/>
      <c r="P2" s="3"/>
      <c r="Q2" s="3"/>
      <c r="R2" s="3"/>
      <c r="S2" s="3"/>
      <c r="T2" s="3"/>
      <c r="U2" s="3"/>
      <c r="V2" s="3"/>
      <c r="W2" s="3"/>
      <c r="X2" s="3"/>
    </row>
    <row r="3" spans="1:24" s="5" customFormat="1" ht="15.75">
      <c r="A3" s="4" t="s">
        <v>1</v>
      </c>
      <c r="B3" s="4"/>
      <c r="C3" s="4"/>
      <c r="D3" s="4"/>
      <c r="E3" s="4"/>
      <c r="F3" s="4"/>
      <c r="G3" s="4"/>
      <c r="H3" s="4"/>
      <c r="I3" s="4"/>
      <c r="J3" s="4"/>
      <c r="K3" s="4"/>
      <c r="L3" s="4"/>
      <c r="M3" s="4"/>
      <c r="N3" s="4"/>
      <c r="O3" s="4"/>
      <c r="P3" s="4"/>
      <c r="Q3" s="4"/>
      <c r="R3" s="4"/>
      <c r="S3" s="4"/>
      <c r="T3" s="4"/>
      <c r="U3" s="4"/>
      <c r="V3" s="4"/>
      <c r="W3" s="4"/>
      <c r="X3" s="4"/>
    </row>
    <row r="4" spans="1:24" s="5" customFormat="1" ht="15.75">
      <c r="A4" s="4" t="s">
        <v>2</v>
      </c>
      <c r="B4" s="4"/>
      <c r="C4" s="4"/>
      <c r="D4" s="4"/>
      <c r="E4" s="4"/>
      <c r="F4" s="4"/>
      <c r="G4" s="4"/>
      <c r="H4" s="4"/>
      <c r="I4" s="4"/>
      <c r="J4" s="4"/>
      <c r="K4" s="4"/>
      <c r="L4" s="4"/>
      <c r="M4" s="4"/>
      <c r="N4" s="4"/>
      <c r="O4" s="4"/>
      <c r="P4" s="4"/>
      <c r="Q4" s="4"/>
      <c r="R4" s="4"/>
      <c r="S4" s="4"/>
      <c r="T4" s="4"/>
      <c r="U4" s="4"/>
      <c r="V4" s="4"/>
      <c r="W4" s="4"/>
      <c r="X4" s="4"/>
    </row>
    <row r="5" spans="1:24" s="5" customFormat="1" ht="15.75">
      <c r="A5" s="4" t="s">
        <v>3</v>
      </c>
      <c r="B5" s="4"/>
      <c r="C5" s="4"/>
      <c r="D5" s="4"/>
      <c r="E5" s="4"/>
      <c r="F5" s="4"/>
      <c r="G5" s="4"/>
      <c r="H5" s="4"/>
      <c r="I5" s="4"/>
      <c r="J5" s="4"/>
      <c r="K5" s="4"/>
      <c r="L5" s="4"/>
      <c r="M5" s="4"/>
      <c r="N5" s="4"/>
      <c r="O5" s="4"/>
      <c r="P5" s="4"/>
      <c r="Q5" s="4"/>
      <c r="R5" s="4"/>
      <c r="S5" s="4"/>
      <c r="T5" s="4"/>
      <c r="U5" s="4"/>
      <c r="V5" s="4"/>
      <c r="W5" s="4"/>
      <c r="X5" s="4"/>
    </row>
    <row r="6" spans="1:24" s="5" customFormat="1" ht="15.75">
      <c r="A6" s="4" t="s">
        <v>4</v>
      </c>
      <c r="B6" s="4"/>
      <c r="C6" s="6"/>
      <c r="D6" s="4"/>
      <c r="E6" s="4" t="s">
        <v>5</v>
      </c>
      <c r="F6" s="4"/>
      <c r="G6" s="4"/>
      <c r="H6" s="4"/>
      <c r="I6" s="4"/>
      <c r="J6" s="4"/>
      <c r="K6" s="4"/>
      <c r="L6" s="4"/>
      <c r="M6" s="4"/>
      <c r="N6" s="4"/>
      <c r="O6" s="4"/>
      <c r="P6" s="4"/>
      <c r="Q6" s="4"/>
      <c r="R6" s="4"/>
      <c r="S6" s="4"/>
      <c r="T6" s="4"/>
      <c r="U6" s="4"/>
      <c r="V6" s="4"/>
      <c r="W6" s="4"/>
      <c r="X6" s="4"/>
    </row>
    <row r="7" spans="1:24" s="5" customFormat="1" ht="15.75">
      <c r="A7" s="4" t="s">
        <v>6</v>
      </c>
      <c r="B7" s="4"/>
      <c r="C7" s="7"/>
      <c r="D7" s="4"/>
      <c r="E7" s="4" t="s">
        <v>7</v>
      </c>
      <c r="F7" s="4"/>
      <c r="G7" s="4"/>
      <c r="H7" s="4"/>
      <c r="I7" s="4"/>
      <c r="J7" s="4"/>
      <c r="K7" s="4"/>
      <c r="L7" s="4"/>
      <c r="M7" s="4"/>
      <c r="N7" s="4"/>
      <c r="O7" s="4"/>
      <c r="P7" s="4"/>
      <c r="Q7" s="4"/>
      <c r="R7" s="4"/>
      <c r="S7" s="4"/>
      <c r="T7" s="4"/>
      <c r="U7" s="4"/>
      <c r="V7" s="4"/>
      <c r="W7" s="4"/>
      <c r="X7" s="4"/>
    </row>
    <row r="8" spans="1:24" s="5" customFormat="1" ht="15.75">
      <c r="A8" s="4" t="s">
        <v>8</v>
      </c>
      <c r="B8" s="4"/>
      <c r="C8" s="8"/>
      <c r="D8" s="4"/>
      <c r="E8" s="4" t="s">
        <v>9</v>
      </c>
      <c r="F8" s="4"/>
      <c r="G8" s="4"/>
      <c r="H8" s="4"/>
      <c r="I8" s="4"/>
      <c r="J8" s="4"/>
      <c r="K8" s="4"/>
      <c r="L8" s="4"/>
      <c r="M8" s="4"/>
      <c r="N8" s="4"/>
      <c r="O8" s="4"/>
      <c r="P8" s="4"/>
      <c r="Q8" s="4"/>
      <c r="R8" s="4"/>
      <c r="S8" s="4"/>
      <c r="T8" s="4"/>
      <c r="U8" s="4"/>
      <c r="V8" s="4"/>
      <c r="W8" s="4"/>
      <c r="X8" s="4"/>
    </row>
    <row r="9" spans="1:24" ht="15.75">
      <c r="A9" s="3"/>
      <c r="B9" s="3"/>
      <c r="C9" s="3"/>
      <c r="D9" s="3"/>
      <c r="E9" s="3"/>
      <c r="F9" s="3"/>
      <c r="G9" s="3"/>
      <c r="H9" s="3"/>
      <c r="I9" s="3"/>
      <c r="J9" s="3"/>
      <c r="K9" s="3"/>
      <c r="L9" s="3"/>
      <c r="M9" s="3"/>
      <c r="N9" s="3"/>
      <c r="O9" s="3"/>
      <c r="P9" s="3"/>
      <c r="Q9" s="3"/>
      <c r="R9" s="3"/>
      <c r="S9" s="3"/>
      <c r="T9" s="3"/>
      <c r="U9" s="3"/>
      <c r="V9" s="3"/>
      <c r="W9" s="3"/>
      <c r="X9" s="3"/>
    </row>
    <row r="10" spans="1:24" ht="15.75">
      <c r="A10" s="9" t="s">
        <v>10</v>
      </c>
      <c r="B10" s="3"/>
      <c r="C10" s="3"/>
      <c r="D10" s="3"/>
      <c r="E10" s="3"/>
      <c r="F10" s="3"/>
      <c r="G10" s="3"/>
      <c r="H10" s="3"/>
      <c r="I10" s="3"/>
      <c r="J10" s="3"/>
      <c r="K10" s="3"/>
      <c r="L10" s="3"/>
      <c r="M10" s="3"/>
      <c r="N10" s="3"/>
      <c r="O10" s="3"/>
      <c r="P10" s="3"/>
      <c r="Q10" s="3"/>
      <c r="R10" s="3"/>
      <c r="S10" s="3"/>
      <c r="T10" s="3"/>
      <c r="U10" s="3"/>
      <c r="V10" s="3"/>
      <c r="W10" s="3"/>
      <c r="X10" s="3"/>
    </row>
    <row r="11" spans="1:24" ht="15.75">
      <c r="A11" s="3" t="s">
        <v>11</v>
      </c>
      <c r="B11" s="3"/>
      <c r="C11" s="3"/>
      <c r="D11" s="3"/>
      <c r="E11" s="3"/>
      <c r="F11" s="3"/>
      <c r="G11" s="3"/>
      <c r="H11" s="3"/>
      <c r="I11" s="3"/>
      <c r="J11" s="3"/>
      <c r="K11" s="3"/>
      <c r="L11" s="3"/>
      <c r="M11" s="3"/>
      <c r="N11" s="3"/>
      <c r="O11" s="3"/>
      <c r="P11" s="3"/>
      <c r="Q11" s="3"/>
      <c r="R11" s="3"/>
      <c r="S11" s="3"/>
      <c r="T11" s="3"/>
      <c r="U11" s="3"/>
      <c r="V11" s="3"/>
      <c r="W11" s="3"/>
      <c r="X11" s="3"/>
    </row>
    <row r="12" spans="1:24" ht="15.75">
      <c r="A12" s="3" t="s">
        <v>12</v>
      </c>
      <c r="B12" s="3"/>
      <c r="C12" s="3"/>
      <c r="D12" s="3"/>
      <c r="E12" s="3"/>
      <c r="F12" s="3"/>
      <c r="G12" s="3"/>
      <c r="H12" s="3"/>
      <c r="I12" s="3"/>
      <c r="J12" s="3"/>
      <c r="K12" s="3"/>
      <c r="L12" s="3"/>
      <c r="M12" s="3"/>
      <c r="N12" s="3"/>
      <c r="O12" s="3"/>
      <c r="P12" s="3"/>
      <c r="Q12" s="3"/>
      <c r="R12" s="3"/>
      <c r="S12" s="3"/>
      <c r="T12" s="3"/>
      <c r="U12" s="3"/>
      <c r="V12" s="3"/>
      <c r="W12" s="3"/>
      <c r="X12" s="3"/>
    </row>
    <row r="13" spans="1:24" ht="15.75">
      <c r="A13" s="3" t="s">
        <v>13</v>
      </c>
      <c r="B13" s="3"/>
      <c r="C13" s="3"/>
      <c r="D13" s="3"/>
      <c r="E13" s="3"/>
      <c r="F13" s="3"/>
      <c r="G13" s="3"/>
      <c r="H13" s="3"/>
      <c r="I13" s="3"/>
      <c r="J13" s="3"/>
      <c r="K13" s="3"/>
      <c r="L13" s="3"/>
      <c r="M13" s="3"/>
      <c r="N13" s="3"/>
      <c r="O13" s="3"/>
      <c r="P13" s="3"/>
      <c r="Q13" s="3"/>
      <c r="R13" s="3"/>
      <c r="S13" s="3"/>
      <c r="T13" s="3"/>
      <c r="U13" s="3"/>
      <c r="V13" s="3"/>
      <c r="W13" s="3"/>
      <c r="X13" s="3"/>
    </row>
    <row r="14" spans="1:24" ht="15.75">
      <c r="A14" s="3"/>
      <c r="B14" s="3"/>
      <c r="C14" s="3"/>
      <c r="D14" s="3"/>
      <c r="E14" s="3"/>
      <c r="F14" s="3"/>
      <c r="G14" s="3"/>
      <c r="H14" s="3"/>
      <c r="I14" s="3"/>
      <c r="J14" s="3"/>
      <c r="K14" s="3"/>
      <c r="L14" s="3"/>
      <c r="M14" s="3"/>
      <c r="N14" s="3"/>
      <c r="O14" s="3"/>
      <c r="P14" s="3"/>
      <c r="Q14" s="3"/>
      <c r="R14" s="3"/>
      <c r="S14" s="3"/>
      <c r="T14" s="3"/>
      <c r="U14" s="3"/>
      <c r="V14" s="3"/>
      <c r="W14" s="3"/>
      <c r="X14" s="3"/>
    </row>
    <row r="15" spans="1:24" ht="15.75">
      <c r="A15" s="3"/>
      <c r="B15" s="3"/>
      <c r="C15" s="3"/>
      <c r="D15" s="3"/>
      <c r="E15" s="3"/>
      <c r="F15" s="3"/>
      <c r="G15" s="3"/>
      <c r="H15" s="3"/>
      <c r="I15" s="3"/>
      <c r="J15" s="3"/>
      <c r="K15" s="3"/>
      <c r="L15" s="3"/>
      <c r="M15" s="3"/>
      <c r="N15" s="3"/>
      <c r="O15" s="3"/>
      <c r="P15" s="3"/>
      <c r="Q15" s="3"/>
      <c r="R15" s="3"/>
      <c r="S15" s="3"/>
      <c r="T15" s="3"/>
      <c r="U15" s="3"/>
      <c r="V15" s="3"/>
      <c r="W15" s="3"/>
      <c r="X15" s="3"/>
    </row>
    <row r="16" spans="1:24" ht="15.75">
      <c r="A16" s="3"/>
      <c r="B16" s="3"/>
      <c r="C16" s="3"/>
      <c r="D16" s="3"/>
      <c r="E16" s="3"/>
      <c r="F16" s="3"/>
      <c r="G16" s="3"/>
      <c r="H16" s="3"/>
      <c r="I16" s="3"/>
      <c r="J16" s="3"/>
      <c r="K16" s="3"/>
      <c r="L16" s="3"/>
      <c r="M16" s="3"/>
      <c r="N16" s="3"/>
      <c r="O16" s="3"/>
      <c r="P16" s="3"/>
      <c r="Q16" s="3"/>
      <c r="R16" s="3"/>
      <c r="S16" s="3"/>
      <c r="T16" s="3"/>
      <c r="U16" s="3"/>
      <c r="V16" s="3"/>
      <c r="W16" s="3"/>
      <c r="X16" s="3"/>
    </row>
    <row r="17" spans="1:24" ht="15.75">
      <c r="A17" s="10" t="s">
        <v>14</v>
      </c>
      <c r="B17" s="3"/>
      <c r="C17" s="3"/>
      <c r="D17" s="3"/>
      <c r="E17" s="3"/>
      <c r="F17" s="3"/>
      <c r="G17" s="3"/>
      <c r="H17" s="3"/>
      <c r="I17" s="3"/>
      <c r="J17" s="3"/>
      <c r="K17" s="3"/>
      <c r="L17" s="3"/>
      <c r="M17" s="3"/>
      <c r="N17" s="3"/>
      <c r="O17" s="3"/>
      <c r="P17" s="3"/>
      <c r="Q17" s="3"/>
      <c r="R17" s="3"/>
      <c r="S17" s="3"/>
      <c r="T17" s="3"/>
      <c r="U17" s="3"/>
      <c r="V17" s="3"/>
      <c r="W17" s="3"/>
      <c r="X17" s="3"/>
    </row>
    <row r="18" spans="1:24" ht="15.75">
      <c r="A18" s="3"/>
      <c r="B18" s="3"/>
      <c r="C18" s="3"/>
      <c r="D18" s="3"/>
      <c r="E18" s="3"/>
      <c r="F18" s="3"/>
      <c r="G18" s="3"/>
      <c r="H18" s="3"/>
      <c r="I18" s="3"/>
      <c r="J18" s="3"/>
      <c r="K18" s="3"/>
      <c r="L18" s="3"/>
      <c r="M18" s="3"/>
      <c r="N18" s="3"/>
      <c r="O18" s="3"/>
      <c r="P18" s="3"/>
      <c r="Q18" s="3"/>
      <c r="R18" s="3"/>
      <c r="S18" s="3"/>
      <c r="T18" s="3"/>
      <c r="U18" s="3"/>
      <c r="V18" s="3"/>
      <c r="W18" s="3"/>
      <c r="X18" s="3"/>
    </row>
    <row r="19" spans="1:24" ht="15.75">
      <c r="A19" s="3"/>
      <c r="B19" s="3"/>
      <c r="C19" s="3"/>
      <c r="D19" s="3"/>
      <c r="E19" s="3"/>
      <c r="F19" s="3"/>
      <c r="G19" s="3"/>
      <c r="H19" s="3"/>
      <c r="I19" s="3"/>
      <c r="J19" s="3"/>
      <c r="K19" s="3"/>
      <c r="L19" s="3"/>
      <c r="M19" s="3"/>
      <c r="N19" s="3"/>
      <c r="O19" s="3"/>
      <c r="P19" s="3"/>
      <c r="Q19" s="3"/>
      <c r="R19" s="3"/>
      <c r="S19" s="3"/>
      <c r="T19" s="3"/>
      <c r="U19" s="3"/>
      <c r="V19" s="3"/>
      <c r="W19" s="3"/>
      <c r="X19" s="3"/>
    </row>
    <row r="20" spans="1:24" ht="15.75">
      <c r="A20" s="3"/>
      <c r="B20" s="3"/>
      <c r="C20" s="3"/>
      <c r="D20" s="3"/>
      <c r="E20" s="3"/>
      <c r="F20" s="3"/>
      <c r="G20" s="3"/>
      <c r="H20" s="3"/>
      <c r="I20" s="3"/>
      <c r="J20" s="3"/>
      <c r="K20" s="3"/>
      <c r="L20" s="3"/>
      <c r="M20" s="3"/>
      <c r="N20" s="3"/>
      <c r="O20" s="3"/>
      <c r="P20" s="3"/>
      <c r="Q20" s="3"/>
      <c r="R20" s="3"/>
      <c r="S20" s="3"/>
      <c r="T20" s="3"/>
      <c r="U20" s="3"/>
      <c r="V20" s="3"/>
      <c r="W20" s="3"/>
      <c r="X20" s="3"/>
    </row>
    <row r="21" spans="1:24" ht="15.75">
      <c r="A21" s="3"/>
      <c r="B21" s="3"/>
      <c r="C21" s="3"/>
      <c r="D21" s="3"/>
      <c r="E21" s="3"/>
      <c r="F21" s="3"/>
      <c r="G21" s="3"/>
      <c r="H21" s="3"/>
      <c r="I21" s="3"/>
      <c r="J21" s="3"/>
      <c r="K21" s="3"/>
      <c r="L21" s="3"/>
      <c r="M21" s="3"/>
      <c r="N21" s="3"/>
      <c r="O21" s="3"/>
      <c r="P21" s="3"/>
      <c r="Q21" s="3"/>
      <c r="R21" s="3"/>
      <c r="S21" s="3"/>
      <c r="T21" s="3"/>
      <c r="U21" s="3"/>
      <c r="V21" s="3"/>
      <c r="W21" s="3"/>
      <c r="X21" s="3"/>
    </row>
    <row r="22" spans="1:24" ht="15.75">
      <c r="A22" s="3"/>
      <c r="B22" s="3"/>
      <c r="C22" s="3"/>
      <c r="D22" s="3"/>
      <c r="E22" s="3"/>
      <c r="F22" s="3"/>
      <c r="G22" s="3"/>
      <c r="H22" s="3"/>
      <c r="I22" s="3"/>
      <c r="J22" s="3"/>
      <c r="K22" s="3"/>
      <c r="L22" s="3"/>
      <c r="M22" s="3"/>
      <c r="N22" s="3"/>
      <c r="O22" s="3"/>
      <c r="P22" s="3"/>
      <c r="Q22" s="3"/>
      <c r="R22" s="3"/>
      <c r="S22" s="3"/>
      <c r="T22" s="3"/>
      <c r="U22" s="3"/>
      <c r="V22" s="3"/>
      <c r="W22" s="3"/>
      <c r="X22" s="3"/>
    </row>
    <row r="23" spans="1:24" ht="15.75">
      <c r="A23" s="3"/>
      <c r="B23" s="3"/>
      <c r="C23" s="3"/>
      <c r="D23" s="3"/>
      <c r="E23" s="3"/>
      <c r="F23" s="3"/>
      <c r="G23" s="3"/>
      <c r="H23" s="3"/>
      <c r="I23" s="3"/>
      <c r="J23" s="3"/>
      <c r="K23" s="3"/>
      <c r="L23" s="3"/>
      <c r="M23" s="3"/>
      <c r="N23" s="3"/>
      <c r="O23" s="3"/>
      <c r="P23" s="3"/>
      <c r="Q23" s="3"/>
      <c r="R23" s="3"/>
      <c r="S23" s="3"/>
      <c r="T23" s="3"/>
      <c r="U23" s="3"/>
      <c r="V23" s="3"/>
      <c r="W23" s="3"/>
      <c r="X23" s="3"/>
    </row>
    <row r="24" spans="1:24" ht="15.75">
      <c r="A24" s="3"/>
      <c r="B24" s="3"/>
      <c r="C24" s="3"/>
      <c r="D24" s="3"/>
      <c r="E24" s="3"/>
      <c r="F24" s="3"/>
      <c r="G24" s="3"/>
      <c r="H24" s="3"/>
      <c r="I24" s="3"/>
      <c r="J24" s="3"/>
      <c r="K24" s="3"/>
      <c r="L24" s="3"/>
      <c r="M24" s="3"/>
      <c r="N24" s="3"/>
      <c r="O24" s="3"/>
      <c r="P24" s="3"/>
      <c r="Q24" s="3"/>
      <c r="R24" s="3"/>
      <c r="S24" s="3"/>
      <c r="T24" s="3"/>
      <c r="U24" s="3"/>
      <c r="V24" s="3"/>
      <c r="W24" s="3"/>
      <c r="X24" s="3"/>
    </row>
    <row r="25" spans="1:24" ht="15.75">
      <c r="A25" s="3"/>
      <c r="B25" s="3"/>
      <c r="C25" s="3"/>
      <c r="D25" s="3"/>
      <c r="E25" s="3"/>
      <c r="F25" s="3"/>
      <c r="G25" s="3"/>
      <c r="H25" s="3"/>
      <c r="I25" s="3"/>
      <c r="J25" s="3"/>
      <c r="K25" s="3"/>
      <c r="L25" s="3"/>
      <c r="M25" s="3"/>
      <c r="N25" s="3"/>
      <c r="O25" s="3"/>
      <c r="P25" s="3"/>
      <c r="Q25" s="3"/>
      <c r="R25" s="3"/>
      <c r="S25" s="3"/>
      <c r="T25" s="3"/>
      <c r="U25" s="3"/>
      <c r="V25" s="3"/>
      <c r="W25" s="3"/>
      <c r="X25" s="3"/>
    </row>
    <row r="26" spans="1:24" ht="15.75">
      <c r="A26" s="3"/>
      <c r="B26" s="3"/>
      <c r="C26" s="3"/>
      <c r="D26" s="3"/>
      <c r="E26" s="3"/>
      <c r="F26" s="3"/>
      <c r="G26" s="3"/>
      <c r="H26" s="3"/>
      <c r="I26" s="3"/>
      <c r="J26" s="3"/>
      <c r="K26" s="3"/>
      <c r="L26" s="3"/>
      <c r="M26" s="3"/>
      <c r="N26" s="3"/>
      <c r="O26" s="3"/>
      <c r="P26" s="3"/>
      <c r="Q26" s="3"/>
      <c r="R26" s="3"/>
      <c r="S26" s="3"/>
      <c r="T26" s="3"/>
      <c r="U26" s="3"/>
      <c r="V26" s="3"/>
      <c r="W26" s="3"/>
      <c r="X26" s="3"/>
    </row>
    <row r="27" spans="1:24" ht="15.75">
      <c r="A27" s="3"/>
      <c r="B27" s="3"/>
      <c r="C27" s="3"/>
      <c r="D27" s="3"/>
      <c r="E27" s="3"/>
      <c r="F27" s="3"/>
      <c r="G27" s="3"/>
      <c r="H27" s="3"/>
      <c r="I27" s="3"/>
      <c r="J27" s="3"/>
      <c r="K27" s="3"/>
      <c r="L27" s="3"/>
      <c r="M27" s="3"/>
      <c r="N27" s="3"/>
      <c r="O27" s="3"/>
      <c r="P27" s="3"/>
      <c r="Q27" s="3"/>
      <c r="R27" s="3"/>
      <c r="S27" s="3"/>
      <c r="T27" s="3"/>
      <c r="U27" s="3"/>
      <c r="V27" s="3"/>
      <c r="W27" s="3"/>
      <c r="X27" s="3"/>
    </row>
    <row r="28" spans="1:24" ht="15.75">
      <c r="A28" s="3"/>
      <c r="B28" s="3"/>
      <c r="C28" s="3"/>
      <c r="D28" s="3"/>
      <c r="E28" s="3"/>
      <c r="F28" s="3"/>
      <c r="G28" s="3"/>
      <c r="H28" s="3"/>
      <c r="I28" s="3"/>
      <c r="J28" s="3"/>
      <c r="K28" s="3"/>
      <c r="L28" s="3"/>
      <c r="M28" s="3"/>
      <c r="N28" s="3"/>
      <c r="O28" s="3"/>
      <c r="P28" s="3"/>
      <c r="Q28" s="3"/>
      <c r="R28" s="3"/>
      <c r="S28" s="3"/>
      <c r="T28" s="3"/>
      <c r="U28" s="3"/>
      <c r="V28" s="3"/>
      <c r="W28" s="3"/>
      <c r="X28" s="3"/>
    </row>
    <row r="29" spans="1:24" ht="15.75">
      <c r="A29" s="3"/>
      <c r="B29" s="3"/>
      <c r="C29" s="3"/>
      <c r="D29" s="3"/>
      <c r="E29" s="3"/>
      <c r="F29" s="3"/>
      <c r="G29" s="3"/>
      <c r="H29" s="3"/>
      <c r="I29" s="3"/>
      <c r="J29" s="3"/>
      <c r="K29" s="3"/>
      <c r="L29" s="3"/>
      <c r="M29" s="3"/>
      <c r="N29" s="3"/>
      <c r="O29" s="3"/>
      <c r="P29" s="3"/>
      <c r="Q29" s="3"/>
      <c r="R29" s="3"/>
      <c r="S29" s="3"/>
      <c r="T29" s="3"/>
      <c r="U29" s="3"/>
      <c r="V29" s="3"/>
      <c r="W29" s="3"/>
      <c r="X29" s="3"/>
    </row>
    <row r="30" spans="1:24" ht="15.75">
      <c r="A30" s="3"/>
      <c r="B30" s="3"/>
      <c r="C30" s="3"/>
      <c r="D30" s="3"/>
      <c r="E30" s="3"/>
      <c r="F30" s="3"/>
      <c r="G30" s="3"/>
      <c r="H30" s="3"/>
      <c r="I30" s="3"/>
      <c r="J30" s="3"/>
      <c r="K30" s="3"/>
      <c r="L30" s="3"/>
      <c r="M30" s="3"/>
      <c r="N30" s="3"/>
      <c r="O30" s="3"/>
      <c r="P30" s="3"/>
      <c r="Q30" s="3"/>
      <c r="R30" s="3"/>
      <c r="S30" s="3"/>
      <c r="T30" s="3"/>
      <c r="U30" s="3"/>
      <c r="V30" s="3"/>
      <c r="W30" s="3"/>
      <c r="X30" s="3"/>
    </row>
    <row r="31" spans="1:24" ht="15.75">
      <c r="A31" s="3"/>
      <c r="B31" s="3"/>
      <c r="C31" s="3"/>
      <c r="D31" s="3"/>
      <c r="E31" s="3"/>
      <c r="F31" s="3"/>
      <c r="G31" s="3"/>
      <c r="H31" s="3"/>
      <c r="I31" s="3"/>
      <c r="J31" s="3"/>
      <c r="K31" s="3"/>
      <c r="L31" s="3"/>
      <c r="M31" s="3"/>
      <c r="N31" s="3"/>
      <c r="O31" s="3"/>
      <c r="P31" s="3"/>
      <c r="Q31" s="3"/>
      <c r="R31" s="3"/>
      <c r="S31" s="3"/>
      <c r="T31" s="3"/>
      <c r="U31" s="3"/>
      <c r="V31" s="3"/>
      <c r="W31" s="3"/>
      <c r="X31" s="3"/>
    </row>
    <row r="32" spans="1:24" ht="15.75">
      <c r="A32" s="3"/>
      <c r="B32" s="3"/>
      <c r="C32" s="3"/>
      <c r="D32" s="3"/>
      <c r="E32" s="3"/>
      <c r="F32" s="3"/>
      <c r="G32" s="3"/>
      <c r="H32" s="3"/>
      <c r="I32" s="3"/>
      <c r="J32" s="3"/>
      <c r="K32" s="3"/>
      <c r="L32" s="3"/>
      <c r="M32" s="3"/>
      <c r="N32" s="3"/>
      <c r="O32" s="3"/>
      <c r="P32" s="3"/>
      <c r="Q32" s="3"/>
      <c r="R32" s="3"/>
      <c r="S32" s="3"/>
      <c r="T32" s="3"/>
      <c r="U32" s="3"/>
      <c r="V32" s="3"/>
      <c r="W32" s="3"/>
      <c r="X32" s="3"/>
    </row>
    <row r="33" spans="1:24" ht="15.75">
      <c r="A33" s="3"/>
      <c r="B33" s="3"/>
      <c r="C33" s="3"/>
      <c r="D33" s="3"/>
      <c r="E33" s="3"/>
      <c r="F33" s="3"/>
      <c r="G33" s="3"/>
      <c r="H33" s="3"/>
      <c r="I33" s="3"/>
      <c r="J33" s="3"/>
      <c r="K33" s="3"/>
      <c r="L33" s="3"/>
      <c r="M33" s="3"/>
      <c r="N33" s="3"/>
      <c r="O33" s="3"/>
      <c r="P33" s="3"/>
      <c r="Q33" s="3"/>
      <c r="R33" s="3"/>
      <c r="S33" s="3"/>
      <c r="T33" s="3"/>
      <c r="U33" s="3"/>
      <c r="V33" s="3"/>
      <c r="W33" s="3"/>
      <c r="X33" s="3"/>
    </row>
    <row r="34" spans="1:24" ht="15.75">
      <c r="A34" s="3"/>
      <c r="B34" s="3"/>
      <c r="C34" s="3"/>
      <c r="D34" s="3"/>
      <c r="E34" s="3"/>
      <c r="F34" s="3"/>
      <c r="G34" s="3"/>
      <c r="H34" s="3"/>
      <c r="I34" s="11"/>
      <c r="J34" s="3"/>
      <c r="K34" s="3"/>
      <c r="L34" s="3"/>
      <c r="M34" s="3"/>
      <c r="N34" s="3"/>
      <c r="O34" s="3"/>
      <c r="P34" s="3"/>
      <c r="Q34" s="3"/>
      <c r="R34" s="3"/>
      <c r="S34" s="3"/>
      <c r="T34" s="3"/>
      <c r="U34" s="3"/>
      <c r="V34" s="3"/>
      <c r="W34" s="3"/>
      <c r="X34" s="3"/>
    </row>
    <row r="35" spans="1:24" ht="15.75">
      <c r="A35" s="3"/>
      <c r="B35" s="3"/>
      <c r="C35" s="3"/>
      <c r="D35" s="3"/>
      <c r="E35" s="3"/>
      <c r="F35" s="3"/>
      <c r="G35" s="3"/>
      <c r="H35" s="3"/>
      <c r="I35" s="3"/>
      <c r="J35" s="3"/>
      <c r="K35" s="3"/>
      <c r="L35" s="3"/>
      <c r="M35" s="3"/>
      <c r="N35" s="3"/>
      <c r="O35" s="3"/>
      <c r="P35" s="3"/>
      <c r="Q35" s="3"/>
      <c r="R35" s="3"/>
      <c r="S35" s="3"/>
      <c r="T35" s="3"/>
      <c r="U35" s="3"/>
      <c r="V35" s="3"/>
      <c r="W35" s="3"/>
      <c r="X35" s="3"/>
    </row>
    <row r="36" spans="1:24" ht="15.75">
      <c r="A36" s="3"/>
      <c r="B36" s="3"/>
      <c r="C36" s="3"/>
      <c r="D36" s="3"/>
      <c r="E36" s="3"/>
      <c r="F36" s="3"/>
      <c r="G36" s="3"/>
      <c r="H36" s="3"/>
      <c r="I36" s="3"/>
      <c r="J36" s="3"/>
      <c r="K36" s="3"/>
      <c r="L36" s="3"/>
      <c r="M36" s="3"/>
      <c r="N36" s="3"/>
      <c r="O36" s="3"/>
      <c r="P36" s="3"/>
      <c r="Q36" s="3"/>
      <c r="R36" s="3"/>
      <c r="S36" s="3"/>
      <c r="T36" s="3"/>
      <c r="U36" s="3"/>
      <c r="V36" s="3"/>
      <c r="W36" s="3"/>
      <c r="X36" s="3"/>
    </row>
    <row r="37" spans="1:24" ht="15.75">
      <c r="A37" s="3"/>
      <c r="B37" s="3"/>
      <c r="C37" s="3"/>
      <c r="D37" s="3"/>
      <c r="E37" s="3"/>
      <c r="F37" s="3"/>
      <c r="G37" s="3"/>
      <c r="H37" s="3"/>
      <c r="I37" s="3"/>
      <c r="J37" s="3"/>
      <c r="K37" s="3"/>
      <c r="L37" s="3"/>
      <c r="M37" s="3"/>
      <c r="N37" s="3"/>
      <c r="O37" s="3"/>
      <c r="P37" s="3"/>
      <c r="Q37" s="3"/>
      <c r="R37" s="3"/>
      <c r="S37" s="3"/>
      <c r="T37" s="3"/>
      <c r="U37" s="3"/>
      <c r="V37" s="3"/>
      <c r="W37" s="3"/>
      <c r="X37" s="3"/>
    </row>
    <row r="38" spans="1:24" ht="15.75">
      <c r="A38" s="3"/>
      <c r="B38" s="3"/>
      <c r="C38" s="3"/>
      <c r="D38" s="3"/>
      <c r="E38" s="3"/>
      <c r="F38" s="3"/>
      <c r="G38" s="3"/>
      <c r="H38" s="3"/>
      <c r="I38" s="3"/>
      <c r="J38" s="3"/>
      <c r="K38" s="3"/>
      <c r="L38" s="3"/>
      <c r="M38" s="3"/>
      <c r="N38" s="3"/>
      <c r="O38" s="3"/>
      <c r="P38" s="3"/>
      <c r="Q38" s="3"/>
      <c r="R38" s="3"/>
      <c r="S38" s="3"/>
      <c r="T38" s="3"/>
      <c r="U38" s="3"/>
      <c r="V38" s="3"/>
      <c r="W38" s="3"/>
      <c r="X38" s="3"/>
    </row>
    <row r="39" spans="1:24" ht="15.75">
      <c r="A39" s="3"/>
      <c r="B39" s="3"/>
      <c r="C39" s="3"/>
      <c r="D39" s="3"/>
      <c r="E39" s="3"/>
      <c r="F39" s="3"/>
      <c r="G39" s="3"/>
      <c r="H39" s="3"/>
      <c r="I39" s="3"/>
      <c r="J39" s="3"/>
      <c r="K39" s="3"/>
      <c r="L39" s="3"/>
      <c r="M39" s="3"/>
      <c r="N39" s="3"/>
      <c r="O39" s="3"/>
      <c r="P39" s="3"/>
      <c r="Q39" s="3"/>
      <c r="R39" s="3"/>
      <c r="S39" s="3"/>
      <c r="T39" s="3"/>
      <c r="U39" s="3"/>
      <c r="V39" s="3"/>
      <c r="W39" s="3"/>
      <c r="X39" s="3"/>
    </row>
    <row r="40" spans="1:24" ht="15.75">
      <c r="A40" s="3"/>
      <c r="B40" s="3"/>
      <c r="C40" s="3"/>
      <c r="D40" s="3"/>
      <c r="E40" s="3"/>
      <c r="F40" s="3"/>
      <c r="G40" s="3"/>
      <c r="H40" s="3"/>
      <c r="I40" s="3"/>
      <c r="J40" s="3"/>
      <c r="K40" s="3"/>
      <c r="L40" s="3"/>
      <c r="M40" s="3"/>
      <c r="N40" s="3"/>
      <c r="O40" s="3"/>
      <c r="P40" s="3"/>
      <c r="Q40" s="3"/>
      <c r="R40" s="3"/>
      <c r="S40" s="3"/>
      <c r="T40" s="3"/>
      <c r="U40" s="3"/>
      <c r="V40" s="3"/>
      <c r="W40" s="3"/>
      <c r="X40" s="3"/>
    </row>
  </sheetData>
  <sheetProtection selectLockedCells="1" selectUnlockedCells="1"/>
  <mergeCells count="1">
    <mergeCell ref="A1:L1"/>
  </mergeCells>
  <printOptions/>
  <pageMargins left="0.5118055555555556" right="0.5118055555555556" top="0.7875" bottom="0.7875" header="0.5118110236220472" footer="0.5118110236220472"/>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tabColor indexed="44"/>
  </sheetPr>
  <dimension ref="A1:T64"/>
  <sheetViews>
    <sheetView workbookViewId="0" topLeftCell="C1">
      <selection activeCell="I11" sqref="I11"/>
    </sheetView>
  </sheetViews>
  <sheetFormatPr defaultColWidth="9.140625" defaultRowHeight="12.75"/>
  <cols>
    <col min="1" max="1" width="5.28125" style="200" customWidth="1"/>
    <col min="2" max="2" width="6.140625" style="198" customWidth="1"/>
    <col min="3" max="3" width="3.7109375" style="198" customWidth="1"/>
    <col min="4" max="4" width="7.8515625" style="198" customWidth="1"/>
    <col min="5" max="5" width="53.7109375" style="198" customWidth="1"/>
    <col min="6" max="7" width="3.28125" style="199" customWidth="1"/>
    <col min="8" max="8" width="16.421875" style="214" customWidth="1"/>
    <col min="9" max="9" width="11.421875" style="200" customWidth="1"/>
    <col min="10" max="10" width="1.7109375" style="200" customWidth="1"/>
    <col min="11" max="11" width="11.7109375" style="200" customWidth="1"/>
    <col min="12" max="12" width="38.7109375" style="200" customWidth="1"/>
    <col min="13" max="13" width="1.28515625" style="200" customWidth="1"/>
    <col min="14" max="14" width="10.28125" style="200" customWidth="1"/>
    <col min="15" max="15" width="13.7109375" style="200" customWidth="1"/>
    <col min="16" max="16" width="17.7109375" style="200" customWidth="1"/>
    <col min="17" max="17" width="11.421875" style="200" customWidth="1"/>
    <col min="18" max="18" width="11.7109375" style="200" customWidth="1"/>
    <col min="19" max="16384" width="11.421875" style="200" customWidth="1"/>
  </cols>
  <sheetData>
    <row r="1" spans="1:16" ht="12.75">
      <c r="A1" s="201" t="s">
        <v>437</v>
      </c>
      <c r="B1" s="215" t="s">
        <v>438</v>
      </c>
      <c r="C1" s="215"/>
      <c r="D1" s="215"/>
      <c r="E1" s="215"/>
      <c r="F1" s="216" t="s">
        <v>173</v>
      </c>
      <c r="G1" s="217"/>
      <c r="H1" s="218">
        <f>H3+H10+H18+H22+H30+H31+H32</f>
        <v>168166.54092413335</v>
      </c>
      <c r="P1" s="214"/>
    </row>
    <row r="2" ht="13.5"/>
    <row r="3" spans="2:13" ht="15.75">
      <c r="B3" s="219" t="s">
        <v>439</v>
      </c>
      <c r="C3" s="220" t="s">
        <v>440</v>
      </c>
      <c r="D3" s="220"/>
      <c r="E3" s="220"/>
      <c r="F3" s="221" t="s">
        <v>173</v>
      </c>
      <c r="G3" s="222"/>
      <c r="H3" s="223">
        <f>SUM(H4:H8)</f>
        <v>20396.702000000005</v>
      </c>
      <c r="J3" s="15" t="s">
        <v>16</v>
      </c>
      <c r="K3" s="15"/>
      <c r="L3" s="15"/>
      <c r="M3" s="15"/>
    </row>
    <row r="4" spans="4:13" ht="15">
      <c r="D4" s="198" t="s">
        <v>441</v>
      </c>
      <c r="E4" s="198" t="s">
        <v>442</v>
      </c>
      <c r="F4" s="224"/>
      <c r="G4" s="225" t="s">
        <v>173</v>
      </c>
      <c r="H4" s="226">
        <f>'A.IX.a. Deprec. veículos'!G248</f>
        <v>19632.050000000003</v>
      </c>
      <c r="J4" s="17"/>
      <c r="K4" s="18"/>
      <c r="L4" s="18"/>
      <c r="M4" s="19"/>
    </row>
    <row r="5" spans="4:13" ht="15">
      <c r="D5" s="198" t="s">
        <v>443</v>
      </c>
      <c r="E5" s="198" t="s">
        <v>444</v>
      </c>
      <c r="F5" s="227"/>
      <c r="G5" s="225" t="s">
        <v>173</v>
      </c>
      <c r="H5" s="226">
        <f>((0.0001*'2.1.b Veículos'!D9)*9)+((0.0001*'2.1.b Veículos'!F9)*2)+((0.0001*'2.1.c Insumos'!F72)+(0.0001*'2.1.c Insumos'!F75))</f>
        <v>764.652</v>
      </c>
      <c r="J5" s="20"/>
      <c r="K5" s="21"/>
      <c r="L5" s="22" t="s">
        <v>18</v>
      </c>
      <c r="M5" s="23"/>
    </row>
    <row r="6" spans="4:16" ht="15">
      <c r="D6" s="198" t="s">
        <v>445</v>
      </c>
      <c r="E6" s="198" t="s">
        <v>446</v>
      </c>
      <c r="F6" s="227"/>
      <c r="G6" s="225" t="s">
        <v>173</v>
      </c>
      <c r="H6" s="226"/>
      <c r="J6" s="20"/>
      <c r="K6" s="27"/>
      <c r="L6" s="22" t="s">
        <v>20</v>
      </c>
      <c r="M6" s="23"/>
      <c r="P6" s="214"/>
    </row>
    <row r="7" spans="4:16" ht="15">
      <c r="D7" s="198" t="s">
        <v>447</v>
      </c>
      <c r="E7" s="198" t="s">
        <v>448</v>
      </c>
      <c r="F7" s="227"/>
      <c r="G7" s="225" t="s">
        <v>173</v>
      </c>
      <c r="H7" s="226"/>
      <c r="J7" s="20"/>
      <c r="K7" s="28"/>
      <c r="L7" s="22" t="s">
        <v>22</v>
      </c>
      <c r="M7" s="23"/>
      <c r="P7" s="214"/>
    </row>
    <row r="8" spans="4:16" ht="15.75">
      <c r="D8" s="198" t="s">
        <v>449</v>
      </c>
      <c r="E8" s="198" t="s">
        <v>450</v>
      </c>
      <c r="F8" s="228"/>
      <c r="G8" s="225" t="s">
        <v>173</v>
      </c>
      <c r="H8" s="226"/>
      <c r="J8" s="29"/>
      <c r="K8" s="30"/>
      <c r="L8" s="30"/>
      <c r="M8" s="31"/>
      <c r="P8" s="214"/>
    </row>
    <row r="9" spans="6:7" ht="12.75">
      <c r="F9" s="229"/>
      <c r="G9" s="229"/>
    </row>
    <row r="10" spans="2:20" ht="12.75">
      <c r="B10" s="219" t="s">
        <v>451</v>
      </c>
      <c r="C10" s="220" t="s">
        <v>452</v>
      </c>
      <c r="D10" s="220"/>
      <c r="E10" s="220"/>
      <c r="F10" s="221" t="s">
        <v>173</v>
      </c>
      <c r="G10" s="222"/>
      <c r="H10" s="230">
        <f>SUM(H11:H16)</f>
        <v>3312.0820102666657</v>
      </c>
      <c r="L10" s="210"/>
      <c r="R10" s="214"/>
      <c r="T10" s="210"/>
    </row>
    <row r="11" spans="4:8" ht="12.75">
      <c r="D11" s="198" t="s">
        <v>453</v>
      </c>
      <c r="E11" s="198" t="s">
        <v>454</v>
      </c>
      <c r="F11" s="224"/>
      <c r="G11" s="225" t="s">
        <v>173</v>
      </c>
      <c r="H11" s="226">
        <f>'A.X.a. Remun. veículos '!G231</f>
        <v>882.4836666666669</v>
      </c>
    </row>
    <row r="12" spans="4:8" ht="12.75">
      <c r="D12" s="198" t="s">
        <v>455</v>
      </c>
      <c r="E12" s="198" t="s">
        <v>456</v>
      </c>
      <c r="F12" s="227"/>
      <c r="G12" s="225" t="s">
        <v>173</v>
      </c>
      <c r="H12" s="226">
        <f>'A.X.b.  Remun. garagem equip.'!D20</f>
        <v>2362.262380266666</v>
      </c>
    </row>
    <row r="13" spans="4:15" ht="12.75">
      <c r="D13" s="198" t="s">
        <v>457</v>
      </c>
      <c r="E13" s="198" t="s">
        <v>458</v>
      </c>
      <c r="F13" s="227"/>
      <c r="G13" s="225" t="s">
        <v>173</v>
      </c>
      <c r="H13" s="226"/>
      <c r="L13" s="214"/>
      <c r="O13" s="231"/>
    </row>
    <row r="14" spans="4:16" ht="12.75">
      <c r="D14" s="198" t="s">
        <v>459</v>
      </c>
      <c r="E14" s="198" t="s">
        <v>460</v>
      </c>
      <c r="F14" s="227"/>
      <c r="G14" s="225" t="s">
        <v>173</v>
      </c>
      <c r="H14" s="226"/>
      <c r="L14" s="214"/>
      <c r="P14" s="214"/>
    </row>
    <row r="15" spans="4:16" ht="12.75">
      <c r="D15" s="198" t="s">
        <v>461</v>
      </c>
      <c r="E15" s="198" t="s">
        <v>462</v>
      </c>
      <c r="F15" s="227"/>
      <c r="G15" s="225" t="s">
        <v>173</v>
      </c>
      <c r="H15" s="226">
        <f>SUM('1.3 Frota Total'!C19:F25)*('2.1.b Veículos'!D9+'2.1.b Veículos'!F9)/2*('2.1.c Insumos'!F68/100)*0.01/12</f>
        <v>67.33596333333332</v>
      </c>
      <c r="L15" s="214"/>
      <c r="P15" s="214"/>
    </row>
    <row r="16" spans="4:16" ht="12.75">
      <c r="D16" s="198" t="s">
        <v>463</v>
      </c>
      <c r="E16" s="198" t="s">
        <v>464</v>
      </c>
      <c r="F16" s="228"/>
      <c r="G16" s="225" t="s">
        <v>173</v>
      </c>
      <c r="H16" s="226"/>
      <c r="P16" s="214"/>
    </row>
    <row r="17" spans="6:7" ht="12.75">
      <c r="F17" s="229"/>
      <c r="G17" s="229"/>
    </row>
    <row r="18" spans="2:8" ht="12.75">
      <c r="B18" s="219" t="s">
        <v>465</v>
      </c>
      <c r="C18" s="220" t="s">
        <v>466</v>
      </c>
      <c r="D18" s="220"/>
      <c r="E18" s="220"/>
      <c r="F18" s="221" t="s">
        <v>173</v>
      </c>
      <c r="G18" s="222"/>
      <c r="H18" s="223">
        <f>SUM(H19:H20)</f>
        <v>126380.9102472</v>
      </c>
    </row>
    <row r="19" spans="4:16" ht="12.75">
      <c r="D19" s="198" t="s">
        <v>467</v>
      </c>
      <c r="E19" s="198" t="s">
        <v>468</v>
      </c>
      <c r="F19" s="224"/>
      <c r="G19" s="225" t="s">
        <v>173</v>
      </c>
      <c r="H19" s="226">
        <f>(((('2.1.c Insumos'!F34*'2.1.c Insumos'!F42)+('2.1.c Insumos'!F35*'2.1.c Insumos'!F43)+('2.1.c Insumos'!F36*'2.1.c Insumos'!F44)+('2.1.c Insumos'!F37*'2.1.c Insumos'!F45))*((1+('2.1.c Insumos'!F50/100)))+(('2.1.c Insumos'!F38*'2.1.c Insumos'!F46)+('2.1.c Insumos'!F39*'2.1.c Insumos'!F47)+('2.1.c Insumos'!F40*'2.1.c Insumos'!F48)+('2.1.c Insumos'!F41*'2.1.c Insumos'!F49)))*10)</f>
        <v>90272.078748</v>
      </c>
      <c r="N19" s="232"/>
      <c r="P19" s="233"/>
    </row>
    <row r="20" spans="4:8" ht="12.75">
      <c r="D20" s="198" t="s">
        <v>469</v>
      </c>
      <c r="E20" s="198" t="s">
        <v>470</v>
      </c>
      <c r="F20" s="228"/>
      <c r="G20" s="225" t="s">
        <v>173</v>
      </c>
      <c r="H20" s="226">
        <f>H19*('2.1.c Insumos'!F51/100)</f>
        <v>36108.8314992</v>
      </c>
    </row>
    <row r="21" spans="6:14" ht="12.75">
      <c r="F21" s="229"/>
      <c r="G21" s="229"/>
      <c r="N21" s="233"/>
    </row>
    <row r="22" spans="2:8" ht="12.75">
      <c r="B22" s="201" t="s">
        <v>471</v>
      </c>
      <c r="C22" s="220" t="s">
        <v>472</v>
      </c>
      <c r="D22" s="220"/>
      <c r="E22" s="220"/>
      <c r="F22" s="221" t="s">
        <v>173</v>
      </c>
      <c r="G22" s="222"/>
      <c r="H22" s="223">
        <f>SUM(H23:H27)</f>
        <v>12285.846666666666</v>
      </c>
    </row>
    <row r="23" spans="4:8" ht="12.75">
      <c r="D23" s="198" t="s">
        <v>473</v>
      </c>
      <c r="E23" s="198" t="s">
        <v>474</v>
      </c>
      <c r="F23" s="224"/>
      <c r="G23" s="225" t="s">
        <v>173</v>
      </c>
      <c r="H23" s="226">
        <f>'2.1.c Insumos'!F93/12</f>
        <v>8321.67</v>
      </c>
    </row>
    <row r="24" spans="4:8" ht="12.75">
      <c r="D24" s="198" t="s">
        <v>475</v>
      </c>
      <c r="E24" s="198" t="s">
        <v>476</v>
      </c>
      <c r="F24" s="227"/>
      <c r="G24" s="225" t="s">
        <v>173</v>
      </c>
      <c r="H24" s="226">
        <f>'2.1.c Insumos'!F55/12</f>
        <v>100.91666666666667</v>
      </c>
    </row>
    <row r="25" spans="4:8" ht="12.75">
      <c r="D25" s="198" t="s">
        <v>477</v>
      </c>
      <c r="E25" s="198" t="s">
        <v>478</v>
      </c>
      <c r="F25" s="227"/>
      <c r="G25" s="225" t="s">
        <v>173</v>
      </c>
      <c r="H25" s="226">
        <f>'2.1.c Insumos'!F56/12</f>
        <v>3863.26</v>
      </c>
    </row>
    <row r="26" spans="4:8" ht="12.75">
      <c r="D26" s="198" t="s">
        <v>479</v>
      </c>
      <c r="E26" s="198" t="s">
        <v>480</v>
      </c>
      <c r="F26" s="227"/>
      <c r="G26" s="225" t="s">
        <v>173</v>
      </c>
      <c r="H26" s="226">
        <f>'2.1.c Insumos'!F57/12</f>
        <v>0</v>
      </c>
    </row>
    <row r="27" spans="4:8" ht="12.75">
      <c r="D27" s="198" t="s">
        <v>481</v>
      </c>
      <c r="E27" s="198" t="s">
        <v>482</v>
      </c>
      <c r="F27" s="228"/>
      <c r="G27" s="225" t="s">
        <v>173</v>
      </c>
      <c r="H27" s="226">
        <f>'2.1.c Insumos'!F83</f>
        <v>0</v>
      </c>
    </row>
    <row r="28" spans="6:7" ht="12.75">
      <c r="F28" s="229"/>
      <c r="G28" s="229"/>
    </row>
    <row r="29" s="234" customFormat="1" ht="12.75"/>
    <row r="30" spans="2:8" ht="12.75">
      <c r="B30" s="219" t="s">
        <v>483</v>
      </c>
      <c r="C30" s="220" t="s">
        <v>484</v>
      </c>
      <c r="D30" s="220"/>
      <c r="E30" s="220"/>
      <c r="F30" s="235" t="s">
        <v>173</v>
      </c>
      <c r="G30" s="222"/>
      <c r="H30" s="223">
        <f>3887+952+952</f>
        <v>5791</v>
      </c>
    </row>
    <row r="31" spans="2:8" ht="12.75">
      <c r="B31" s="219" t="s">
        <v>485</v>
      </c>
      <c r="C31" s="220" t="s">
        <v>486</v>
      </c>
      <c r="D31" s="220"/>
      <c r="E31" s="220"/>
      <c r="F31" s="235" t="s">
        <v>173</v>
      </c>
      <c r="G31" s="222"/>
      <c r="H31" s="223">
        <f>'2.1.c Insumos'!F87</f>
        <v>0</v>
      </c>
    </row>
    <row r="32" spans="2:8" s="234" customFormat="1" ht="12.75">
      <c r="B32" s="236" t="s">
        <v>487</v>
      </c>
      <c r="C32" s="237" t="s">
        <v>488</v>
      </c>
      <c r="D32" s="238"/>
      <c r="E32" s="238"/>
      <c r="F32" s="235" t="s">
        <v>173</v>
      </c>
      <c r="G32" s="222"/>
      <c r="H32" s="223">
        <f>'2.1.c Insumos'!F88</f>
        <v>0</v>
      </c>
    </row>
    <row r="36" spans="2:4" ht="12.75">
      <c r="B36" s="236"/>
      <c r="C36" s="239"/>
      <c r="D36" s="239"/>
    </row>
    <row r="64" ht="15">
      <c r="L64" s="115"/>
    </row>
  </sheetData>
  <sheetProtection selectLockedCells="1" selectUnlockedCells="1"/>
  <mergeCells count="8">
    <mergeCell ref="B1:E1"/>
    <mergeCell ref="C3:E3"/>
    <mergeCell ref="J3:M3"/>
    <mergeCell ref="C10:E10"/>
    <mergeCell ref="C18:E18"/>
    <mergeCell ref="C22:E22"/>
    <mergeCell ref="C30:E30"/>
    <mergeCell ref="C31:E31"/>
  </mergeCells>
  <printOptions/>
  <pageMargins left="0.5118055555555556" right="0.5118055555555556" top="0.7875" bottom="0.78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44"/>
  </sheetPr>
  <dimension ref="A1:A1"/>
  <sheetViews>
    <sheetView workbookViewId="0" topLeftCell="A10">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44"/>
  </sheetPr>
  <dimension ref="A1:A1"/>
  <sheetViews>
    <sheetView workbookViewId="0" topLeftCell="B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47"/>
    <pageSetUpPr fitToPage="1"/>
  </sheetPr>
  <dimension ref="A1:M57"/>
  <sheetViews>
    <sheetView workbookViewId="0" topLeftCell="A30">
      <selection activeCell="B60" sqref="B60"/>
    </sheetView>
  </sheetViews>
  <sheetFormatPr defaultColWidth="9.140625" defaultRowHeight="12.75" zeroHeight="1"/>
  <cols>
    <col min="1" max="1" width="4.28125" style="12" customWidth="1"/>
    <col min="2" max="2" width="15.421875" style="12" customWidth="1"/>
    <col min="3" max="3" width="20.28125" style="12" customWidth="1"/>
    <col min="4" max="9" width="12.7109375" style="12" customWidth="1"/>
    <col min="10" max="12" width="10.28125" style="12" customWidth="1"/>
    <col min="13" max="13" width="9.421875" style="12" customWidth="1"/>
    <col min="14" max="14" width="9.140625" style="12" customWidth="1"/>
    <col min="15" max="16384" width="11.57421875" style="12" hidden="1" customWidth="1"/>
  </cols>
  <sheetData>
    <row r="1" spans="1:12" ht="15.75">
      <c r="A1" s="13" t="s">
        <v>15</v>
      </c>
      <c r="B1" s="13"/>
      <c r="C1" s="13"/>
      <c r="D1" s="13"/>
      <c r="E1" s="13"/>
      <c r="F1" s="13"/>
      <c r="G1" s="13"/>
      <c r="H1" s="13"/>
      <c r="I1" s="13"/>
      <c r="J1" s="13"/>
      <c r="K1" s="13"/>
      <c r="L1" s="13"/>
    </row>
    <row r="2" spans="1:12" ht="15.75">
      <c r="A2" s="14"/>
      <c r="F2" s="14"/>
      <c r="G2" s="14"/>
      <c r="H2" s="15" t="s">
        <v>16</v>
      </c>
      <c r="I2" s="15"/>
      <c r="J2" s="15"/>
      <c r="K2" s="15"/>
      <c r="L2" s="14"/>
    </row>
    <row r="3" spans="1:12" ht="15">
      <c r="A3" s="16" t="s">
        <v>17</v>
      </c>
      <c r="B3" s="14"/>
      <c r="C3" s="14"/>
      <c r="F3" s="14"/>
      <c r="G3" s="14"/>
      <c r="H3" s="17"/>
      <c r="I3" s="18"/>
      <c r="J3" s="18"/>
      <c r="K3" s="19"/>
      <c r="L3" s="14"/>
    </row>
    <row r="4" spans="1:12" ht="15">
      <c r="A4" s="14"/>
      <c r="B4" s="14"/>
      <c r="C4" s="14"/>
      <c r="F4" s="14"/>
      <c r="G4" s="14"/>
      <c r="H4" s="20"/>
      <c r="I4" s="21"/>
      <c r="J4" s="22" t="s">
        <v>18</v>
      </c>
      <c r="K4" s="23"/>
      <c r="L4" s="14"/>
    </row>
    <row r="5" spans="2:12" ht="15">
      <c r="B5" s="24" t="s">
        <v>19</v>
      </c>
      <c r="C5" s="25"/>
      <c r="D5" s="26">
        <v>0</v>
      </c>
      <c r="F5" s="14"/>
      <c r="G5" s="14"/>
      <c r="H5" s="20"/>
      <c r="I5" s="27"/>
      <c r="J5" s="22" t="s">
        <v>20</v>
      </c>
      <c r="K5" s="23"/>
      <c r="L5" s="14"/>
    </row>
    <row r="6" spans="2:12" ht="15">
      <c r="B6" s="24" t="s">
        <v>21</v>
      </c>
      <c r="C6" s="25"/>
      <c r="D6" s="26">
        <v>0</v>
      </c>
      <c r="F6" s="14"/>
      <c r="G6" s="14"/>
      <c r="H6" s="20"/>
      <c r="I6" s="28"/>
      <c r="J6" s="22" t="s">
        <v>22</v>
      </c>
      <c r="K6" s="23"/>
      <c r="L6" s="14"/>
    </row>
    <row r="7" spans="2:12" ht="15.75">
      <c r="B7" s="24" t="s">
        <v>23</v>
      </c>
      <c r="C7" s="25"/>
      <c r="D7" s="26">
        <v>0</v>
      </c>
      <c r="F7" s="14"/>
      <c r="G7" s="14"/>
      <c r="H7" s="29"/>
      <c r="I7" s="30"/>
      <c r="J7" s="30"/>
      <c r="K7" s="31"/>
      <c r="L7" s="14"/>
    </row>
    <row r="8" spans="2:12" ht="15">
      <c r="B8" s="24" t="s">
        <v>24</v>
      </c>
      <c r="C8" s="25"/>
      <c r="D8" s="26">
        <v>0</v>
      </c>
      <c r="F8" s="14"/>
      <c r="G8" s="14"/>
      <c r="H8" s="14"/>
      <c r="I8" s="14"/>
      <c r="J8" s="14"/>
      <c r="K8" s="14"/>
      <c r="L8" s="14"/>
    </row>
    <row r="9" spans="2:12" ht="15">
      <c r="B9" s="24" t="s">
        <v>25</v>
      </c>
      <c r="C9" s="25"/>
      <c r="D9" s="32">
        <v>0</v>
      </c>
      <c r="F9" s="14"/>
      <c r="G9" s="14"/>
      <c r="H9" s="14"/>
      <c r="I9" s="14"/>
      <c r="J9" s="14"/>
      <c r="K9" s="14"/>
      <c r="L9" s="14"/>
    </row>
    <row r="10" spans="4:12" ht="15">
      <c r="D10" s="14"/>
      <c r="E10" s="14"/>
      <c r="F10" s="14"/>
      <c r="G10" s="14"/>
      <c r="H10" s="14"/>
      <c r="I10" s="14"/>
      <c r="J10" s="14"/>
      <c r="K10" s="14"/>
      <c r="L10" s="14"/>
    </row>
    <row r="11" spans="2:12" ht="15">
      <c r="B11" s="33" t="s">
        <v>26</v>
      </c>
      <c r="C11" s="34"/>
      <c r="D11" s="35">
        <f>D5+D6+D7+D8+D9+D57</f>
        <v>0</v>
      </c>
      <c r="E11" s="14"/>
      <c r="F11" s="14"/>
      <c r="G11" s="14"/>
      <c r="H11" s="14"/>
      <c r="I11" s="14"/>
      <c r="J11" s="14"/>
      <c r="K11" s="14"/>
      <c r="L11" s="14"/>
    </row>
    <row r="12" spans="1:12" ht="15">
      <c r="A12" s="14"/>
      <c r="B12" s="14"/>
      <c r="C12" s="14"/>
      <c r="D12" s="14"/>
      <c r="E12" s="14"/>
      <c r="F12" s="14"/>
      <c r="G12" s="14"/>
      <c r="H12" s="14"/>
      <c r="I12" s="14"/>
      <c r="J12" s="14"/>
      <c r="K12" s="14"/>
      <c r="L12" s="14"/>
    </row>
    <row r="13" spans="1:12" ht="15">
      <c r="A13" s="16" t="s">
        <v>27</v>
      </c>
      <c r="B13" s="14"/>
      <c r="C13" s="14"/>
      <c r="D13" s="14"/>
      <c r="E13" s="14"/>
      <c r="F13" s="14"/>
      <c r="G13" s="14"/>
      <c r="H13" s="14"/>
      <c r="I13" s="14"/>
      <c r="J13" s="14"/>
      <c r="K13" s="14"/>
      <c r="L13" s="14"/>
    </row>
    <row r="14" spans="1:12" ht="15">
      <c r="A14" s="14"/>
      <c r="B14" s="14"/>
      <c r="C14" s="14"/>
      <c r="D14" s="14"/>
      <c r="E14" s="14"/>
      <c r="F14" s="14"/>
      <c r="G14" s="14"/>
      <c r="H14" s="14"/>
      <c r="I14" s="14"/>
      <c r="J14" s="14"/>
      <c r="K14" s="14"/>
      <c r="L14" s="14"/>
    </row>
    <row r="15" spans="1:12" ht="15">
      <c r="A15" s="36" t="s">
        <v>28</v>
      </c>
      <c r="B15" s="36"/>
      <c r="C15" s="36"/>
      <c r="D15" s="36"/>
      <c r="E15" s="36"/>
      <c r="F15" s="36"/>
      <c r="G15" s="36"/>
      <c r="H15" s="36"/>
      <c r="I15" s="36"/>
      <c r="J15" s="36"/>
      <c r="K15" s="36"/>
      <c r="L15" s="36"/>
    </row>
    <row r="16" spans="1:12" ht="15">
      <c r="A16" s="36"/>
      <c r="B16" s="36"/>
      <c r="C16" s="36"/>
      <c r="D16" s="36"/>
      <c r="E16" s="36"/>
      <c r="F16" s="36"/>
      <c r="G16" s="36"/>
      <c r="H16" s="36"/>
      <c r="I16" s="36"/>
      <c r="J16" s="36"/>
      <c r="K16" s="36"/>
      <c r="L16" s="36"/>
    </row>
    <row r="17" spans="2:11" ht="15.75" customHeight="1">
      <c r="B17" s="37" t="s">
        <v>29</v>
      </c>
      <c r="C17" s="37"/>
      <c r="D17" s="37"/>
      <c r="E17" s="37"/>
      <c r="F17" s="37"/>
      <c r="G17" s="37"/>
      <c r="H17" s="37"/>
      <c r="I17" s="37"/>
      <c r="J17" s="37"/>
      <c r="K17" s="37"/>
    </row>
    <row r="18" spans="2:11" ht="18" customHeight="1">
      <c r="B18" s="38" t="s">
        <v>30</v>
      </c>
      <c r="C18" s="38" t="s">
        <v>31</v>
      </c>
      <c r="D18" s="38" t="s">
        <v>32</v>
      </c>
      <c r="E18" s="38" t="s">
        <v>33</v>
      </c>
      <c r="F18" s="38" t="s">
        <v>34</v>
      </c>
      <c r="G18" s="38" t="s">
        <v>35</v>
      </c>
      <c r="H18" s="38" t="s">
        <v>36</v>
      </c>
      <c r="I18" s="38" t="s">
        <v>37</v>
      </c>
      <c r="J18" s="38" t="s">
        <v>38</v>
      </c>
      <c r="K18" s="38" t="s">
        <v>39</v>
      </c>
    </row>
    <row r="19" spans="2:11" ht="15" customHeight="1">
      <c r="B19" s="39"/>
      <c r="C19" s="39"/>
      <c r="D19" s="39"/>
      <c r="E19" s="39"/>
      <c r="F19" s="39"/>
      <c r="G19" s="39"/>
      <c r="H19" s="39"/>
      <c r="I19" s="39"/>
      <c r="J19" s="39"/>
      <c r="K19" s="39"/>
    </row>
    <row r="20" spans="2:13" ht="15">
      <c r="B20" s="40"/>
      <c r="C20" s="40"/>
      <c r="D20" s="40"/>
      <c r="E20" s="40"/>
      <c r="F20" s="40"/>
      <c r="G20" s="40"/>
      <c r="H20" s="40"/>
      <c r="I20" s="40"/>
      <c r="J20" s="40"/>
      <c r="K20" s="40"/>
      <c r="L20" s="40"/>
      <c r="M20" s="41"/>
    </row>
    <row r="21" spans="1:13" ht="15">
      <c r="A21" s="16" t="s">
        <v>40</v>
      </c>
      <c r="B21" s="14"/>
      <c r="C21" s="14"/>
      <c r="D21" s="14"/>
      <c r="E21" s="14"/>
      <c r="F21" s="40"/>
      <c r="G21" s="40"/>
      <c r="H21" s="40"/>
      <c r="I21" s="40"/>
      <c r="J21" s="40"/>
      <c r="K21" s="40"/>
      <c r="L21" s="40"/>
      <c r="M21" s="41"/>
    </row>
    <row r="22" spans="1:13" ht="15">
      <c r="A22" s="42"/>
      <c r="B22" s="43" t="s">
        <v>41</v>
      </c>
      <c r="C22" s="43"/>
      <c r="D22" s="44" t="s">
        <v>42</v>
      </c>
      <c r="E22" s="14" t="s">
        <v>43</v>
      </c>
      <c r="F22" s="40"/>
      <c r="G22" s="40"/>
      <c r="H22" s="40"/>
      <c r="I22" s="40"/>
      <c r="J22" s="40"/>
      <c r="K22" s="40"/>
      <c r="L22" s="40"/>
      <c r="M22" s="41"/>
    </row>
    <row r="23" spans="1:13" ht="15" customHeight="1">
      <c r="A23" s="42"/>
      <c r="B23" s="45" t="s">
        <v>44</v>
      </c>
      <c r="C23" s="45"/>
      <c r="D23" s="44"/>
      <c r="E23" s="14" t="s">
        <v>45</v>
      </c>
      <c r="F23" s="40"/>
      <c r="G23" s="40"/>
      <c r="H23" s="40"/>
      <c r="I23" s="40"/>
      <c r="J23" s="40"/>
      <c r="K23" s="40"/>
      <c r="L23" s="40"/>
      <c r="M23" s="41"/>
    </row>
    <row r="24" spans="2:13" ht="15">
      <c r="B24" s="40"/>
      <c r="C24" s="40"/>
      <c r="D24" s="40"/>
      <c r="E24" s="40"/>
      <c r="F24" s="40"/>
      <c r="G24" s="40"/>
      <c r="H24" s="40"/>
      <c r="I24" s="40"/>
      <c r="J24" s="40"/>
      <c r="K24" s="40"/>
      <c r="L24" s="40"/>
      <c r="M24" s="41"/>
    </row>
    <row r="25" spans="1:13" ht="15">
      <c r="A25" s="36" t="s">
        <v>46</v>
      </c>
      <c r="B25" s="36"/>
      <c r="C25" s="36"/>
      <c r="D25" s="36"/>
      <c r="E25" s="36"/>
      <c r="F25" s="36"/>
      <c r="G25" s="36"/>
      <c r="H25" s="36"/>
      <c r="I25" s="36"/>
      <c r="J25" s="36"/>
      <c r="K25" s="36"/>
      <c r="L25" s="36"/>
      <c r="M25" s="41"/>
    </row>
    <row r="26" spans="1:13" ht="15">
      <c r="A26" s="36"/>
      <c r="B26" s="36"/>
      <c r="C26" s="36"/>
      <c r="D26" s="36"/>
      <c r="E26" s="36"/>
      <c r="F26" s="36"/>
      <c r="G26" s="36"/>
      <c r="H26" s="36"/>
      <c r="I26" s="36"/>
      <c r="J26" s="36"/>
      <c r="K26" s="36"/>
      <c r="L26" s="36"/>
      <c r="M26" s="41"/>
    </row>
    <row r="27" spans="2:12" ht="15">
      <c r="B27" s="40"/>
      <c r="C27" s="37" t="s">
        <v>47</v>
      </c>
      <c r="D27" s="37"/>
      <c r="E27" s="37"/>
      <c r="F27" s="37"/>
      <c r="G27" s="37"/>
      <c r="H27" s="37"/>
      <c r="I27" s="37"/>
      <c r="J27" s="37"/>
      <c r="K27" s="37"/>
      <c r="L27" s="37"/>
    </row>
    <row r="28" spans="2:12" ht="18" customHeight="1">
      <c r="B28" s="40"/>
      <c r="C28" s="38" t="s">
        <v>30</v>
      </c>
      <c r="D28" s="38" t="s">
        <v>31</v>
      </c>
      <c r="E28" s="38" t="s">
        <v>32</v>
      </c>
      <c r="F28" s="38" t="s">
        <v>33</v>
      </c>
      <c r="G28" s="38" t="s">
        <v>34</v>
      </c>
      <c r="H28" s="38" t="s">
        <v>35</v>
      </c>
      <c r="I28" s="38" t="s">
        <v>36</v>
      </c>
      <c r="J28" s="38" t="s">
        <v>37</v>
      </c>
      <c r="K28" s="38" t="s">
        <v>38</v>
      </c>
      <c r="L28" s="38" t="s">
        <v>39</v>
      </c>
    </row>
    <row r="29" spans="1:12" ht="15">
      <c r="A29" s="46" t="s">
        <v>48</v>
      </c>
      <c r="B29" s="38" t="s">
        <v>49</v>
      </c>
      <c r="C29" s="47"/>
      <c r="D29" s="21"/>
      <c r="E29" s="21"/>
      <c r="F29" s="21"/>
      <c r="G29" s="21"/>
      <c r="H29" s="21"/>
      <c r="I29" s="21"/>
      <c r="J29" s="21"/>
      <c r="K29" s="21"/>
      <c r="L29" s="21"/>
    </row>
    <row r="30" spans="1:12" ht="15">
      <c r="A30" s="46"/>
      <c r="B30" s="38" t="s">
        <v>50</v>
      </c>
      <c r="C30" s="47"/>
      <c r="D30" s="21"/>
      <c r="E30" s="21"/>
      <c r="F30" s="21"/>
      <c r="G30" s="21"/>
      <c r="H30" s="21"/>
      <c r="I30" s="21"/>
      <c r="J30" s="21"/>
      <c r="K30" s="21"/>
      <c r="L30" s="21"/>
    </row>
    <row r="31" spans="1:12" ht="15">
      <c r="A31" s="46"/>
      <c r="B31" s="38" t="s">
        <v>51</v>
      </c>
      <c r="C31" s="47"/>
      <c r="D31" s="21"/>
      <c r="E31" s="21"/>
      <c r="F31" s="21"/>
      <c r="G31" s="21"/>
      <c r="H31" s="21"/>
      <c r="I31" s="21"/>
      <c r="J31" s="21"/>
      <c r="K31" s="21"/>
      <c r="L31" s="21"/>
    </row>
    <row r="32" spans="1:12" ht="15">
      <c r="A32" s="46"/>
      <c r="B32" s="38" t="s">
        <v>52</v>
      </c>
      <c r="C32" s="47"/>
      <c r="D32" s="21"/>
      <c r="E32" s="21"/>
      <c r="F32" s="21"/>
      <c r="G32" s="21"/>
      <c r="H32" s="21"/>
      <c r="I32" s="21"/>
      <c r="J32" s="21"/>
      <c r="K32" s="21"/>
      <c r="L32" s="21"/>
    </row>
    <row r="33" spans="1:12" ht="15">
      <c r="A33" s="46"/>
      <c r="B33" s="38" t="s">
        <v>53</v>
      </c>
      <c r="C33" s="47"/>
      <c r="D33" s="21"/>
      <c r="E33" s="21"/>
      <c r="F33" s="21"/>
      <c r="G33" s="21"/>
      <c r="H33" s="21"/>
      <c r="I33" s="21"/>
      <c r="J33" s="21"/>
      <c r="K33" s="21"/>
      <c r="L33" s="21"/>
    </row>
    <row r="34" spans="1:12" ht="15">
      <c r="A34" s="46"/>
      <c r="B34" s="38" t="s">
        <v>54</v>
      </c>
      <c r="C34" s="47"/>
      <c r="D34" s="21"/>
      <c r="E34" s="21"/>
      <c r="F34" s="21"/>
      <c r="G34" s="21"/>
      <c r="H34" s="21"/>
      <c r="I34" s="21"/>
      <c r="J34" s="21"/>
      <c r="K34" s="21"/>
      <c r="L34" s="21"/>
    </row>
    <row r="35" spans="1:12" ht="15">
      <c r="A35" s="46"/>
      <c r="B35" s="38" t="s">
        <v>55</v>
      </c>
      <c r="C35" s="47"/>
      <c r="D35" s="21"/>
      <c r="E35" s="21"/>
      <c r="F35" s="21"/>
      <c r="G35" s="21"/>
      <c r="H35" s="21"/>
      <c r="I35" s="21"/>
      <c r="J35" s="21"/>
      <c r="K35" s="21"/>
      <c r="L35" s="21"/>
    </row>
    <row r="36" spans="1:12" ht="15">
      <c r="A36" s="46"/>
      <c r="B36" s="38" t="s">
        <v>56</v>
      </c>
      <c r="C36" s="47"/>
      <c r="D36" s="21"/>
      <c r="E36" s="21"/>
      <c r="F36" s="21"/>
      <c r="G36" s="21"/>
      <c r="H36" s="21"/>
      <c r="I36" s="21"/>
      <c r="J36" s="21"/>
      <c r="K36" s="21"/>
      <c r="L36" s="21"/>
    </row>
    <row r="37" spans="1:12" ht="15" customHeight="1">
      <c r="A37" s="46"/>
      <c r="B37" s="38" t="s">
        <v>57</v>
      </c>
      <c r="C37" s="47"/>
      <c r="D37" s="21"/>
      <c r="E37" s="21"/>
      <c r="F37" s="21"/>
      <c r="G37" s="21"/>
      <c r="H37" s="21"/>
      <c r="I37" s="21"/>
      <c r="J37" s="21"/>
      <c r="K37" s="21"/>
      <c r="L37" s="21"/>
    </row>
    <row r="38" spans="1:12" ht="15">
      <c r="A38" s="46"/>
      <c r="B38" s="38" t="s">
        <v>58</v>
      </c>
      <c r="C38" s="47"/>
      <c r="D38" s="21"/>
      <c r="E38" s="21"/>
      <c r="F38" s="21"/>
      <c r="G38" s="21"/>
      <c r="H38" s="21"/>
      <c r="I38" s="21"/>
      <c r="J38" s="21"/>
      <c r="K38" s="21"/>
      <c r="L38" s="21"/>
    </row>
    <row r="39" spans="1:12" ht="15">
      <c r="A39" s="46"/>
      <c r="B39" s="38" t="s">
        <v>59</v>
      </c>
      <c r="C39" s="47"/>
      <c r="D39" s="21"/>
      <c r="E39" s="21"/>
      <c r="F39" s="21"/>
      <c r="G39" s="21"/>
      <c r="H39" s="21"/>
      <c r="I39" s="21"/>
      <c r="J39" s="21"/>
      <c r="K39" s="21"/>
      <c r="L39" s="21"/>
    </row>
    <row r="40" spans="1:12" ht="15">
      <c r="A40" s="46"/>
      <c r="B40" s="38" t="s">
        <v>60</v>
      </c>
      <c r="C40" s="47"/>
      <c r="D40" s="21"/>
      <c r="E40" s="21"/>
      <c r="F40" s="21"/>
      <c r="G40" s="21"/>
      <c r="H40" s="21"/>
      <c r="I40" s="21"/>
      <c r="J40" s="21"/>
      <c r="K40" s="21"/>
      <c r="L40" s="21"/>
    </row>
    <row r="41" spans="2:12" ht="15">
      <c r="B41" s="40"/>
      <c r="C41" s="40"/>
      <c r="D41" s="40"/>
      <c r="E41" s="40"/>
      <c r="F41" s="40"/>
      <c r="G41" s="40"/>
      <c r="H41" s="40"/>
      <c r="I41" s="40"/>
      <c r="J41" s="40"/>
      <c r="K41" s="40"/>
      <c r="L41" s="40"/>
    </row>
    <row r="42" spans="1:12" ht="15">
      <c r="A42" s="48" t="s">
        <v>61</v>
      </c>
      <c r="B42" s="48"/>
      <c r="C42" s="48"/>
      <c r="D42" s="48"/>
      <c r="E42" s="48"/>
      <c r="F42" s="48"/>
      <c r="G42" s="48"/>
      <c r="H42" s="48"/>
      <c r="I42" s="48"/>
      <c r="J42" s="48"/>
      <c r="K42" s="48"/>
      <c r="L42" s="48"/>
    </row>
    <row r="43" spans="1:12" ht="15">
      <c r="A43" s="14"/>
      <c r="B43" s="14"/>
      <c r="C43" s="14"/>
      <c r="D43" s="14"/>
      <c r="E43" s="14"/>
      <c r="F43" s="14"/>
      <c r="G43" s="14"/>
      <c r="H43" s="14"/>
      <c r="I43" s="14"/>
      <c r="J43" s="14"/>
      <c r="K43" s="14"/>
      <c r="L43" s="14"/>
    </row>
    <row r="44" spans="1:13" ht="18" customHeight="1">
      <c r="A44" s="14"/>
      <c r="B44" s="14"/>
      <c r="C44" s="38" t="s">
        <v>30</v>
      </c>
      <c r="D44" s="38" t="s">
        <v>31</v>
      </c>
      <c r="E44" s="38" t="s">
        <v>32</v>
      </c>
      <c r="F44" s="38" t="s">
        <v>33</v>
      </c>
      <c r="G44" s="38" t="s">
        <v>34</v>
      </c>
      <c r="H44" s="38" t="s">
        <v>35</v>
      </c>
      <c r="I44" s="38" t="s">
        <v>36</v>
      </c>
      <c r="J44" s="38" t="s">
        <v>37</v>
      </c>
      <c r="K44" s="38" t="s">
        <v>38</v>
      </c>
      <c r="L44" s="38" t="s">
        <v>39</v>
      </c>
      <c r="M44" s="49"/>
    </row>
    <row r="45" spans="1:13" ht="15" customHeight="1">
      <c r="A45" s="50" t="s">
        <v>62</v>
      </c>
      <c r="B45" s="50"/>
      <c r="C45" s="21"/>
      <c r="D45" s="21"/>
      <c r="E45" s="21"/>
      <c r="F45" s="21"/>
      <c r="G45" s="21"/>
      <c r="H45" s="21"/>
      <c r="I45" s="21"/>
      <c r="J45" s="21"/>
      <c r="K45" s="21"/>
      <c r="L45" s="21"/>
      <c r="M45" s="49"/>
    </row>
    <row r="46" spans="1:13" ht="15">
      <c r="A46" s="50"/>
      <c r="B46" s="50"/>
      <c r="C46" s="21"/>
      <c r="D46" s="21"/>
      <c r="E46" s="21"/>
      <c r="F46" s="21"/>
      <c r="G46" s="21"/>
      <c r="H46" s="21"/>
      <c r="I46" s="21"/>
      <c r="J46" s="21"/>
      <c r="K46" s="21"/>
      <c r="L46" s="21"/>
      <c r="M46" s="49"/>
    </row>
    <row r="47" ht="15"/>
    <row r="48" spans="1:12" ht="15">
      <c r="A48" s="51" t="s">
        <v>63</v>
      </c>
      <c r="B48" s="51"/>
      <c r="C48" s="51"/>
      <c r="D48" s="51"/>
      <c r="E48" s="51"/>
      <c r="F48" s="51"/>
      <c r="G48" s="51"/>
      <c r="H48" s="51"/>
      <c r="I48" s="51"/>
      <c r="J48" s="51"/>
      <c r="K48" s="51"/>
      <c r="L48" s="51"/>
    </row>
    <row r="49" spans="1:12" ht="15">
      <c r="A49" s="14"/>
      <c r="B49" s="14"/>
      <c r="C49" s="14"/>
      <c r="D49" s="14"/>
      <c r="E49" s="14"/>
      <c r="F49" s="14"/>
      <c r="G49" s="14"/>
      <c r="H49" s="14"/>
      <c r="I49" s="14"/>
      <c r="J49" s="14"/>
      <c r="K49" s="14"/>
      <c r="L49" s="14"/>
    </row>
    <row r="50" spans="3:12" ht="15">
      <c r="C50" s="52" t="s">
        <v>64</v>
      </c>
      <c r="D50" s="52"/>
      <c r="E50" s="52"/>
      <c r="F50" s="52"/>
      <c r="G50" s="52"/>
      <c r="H50" s="52"/>
      <c r="I50" s="52"/>
      <c r="J50" s="52"/>
      <c r="K50" s="52"/>
      <c r="L50" s="52"/>
    </row>
    <row r="51" spans="3:12" ht="18">
      <c r="C51" s="53" t="s">
        <v>65</v>
      </c>
      <c r="D51" s="53" t="s">
        <v>66</v>
      </c>
      <c r="E51" s="53" t="s">
        <v>67</v>
      </c>
      <c r="F51" s="53" t="s">
        <v>68</v>
      </c>
      <c r="G51" s="53" t="s">
        <v>69</v>
      </c>
      <c r="H51" s="53" t="s">
        <v>70</v>
      </c>
      <c r="I51" s="53" t="s">
        <v>71</v>
      </c>
      <c r="J51" s="53" t="s">
        <v>72</v>
      </c>
      <c r="K51" s="53" t="s">
        <v>73</v>
      </c>
      <c r="L51" s="53" t="s">
        <v>74</v>
      </c>
    </row>
    <row r="52" spans="3:12" ht="15">
      <c r="C52" s="54">
        <f>_xlfn.IFERROR(IF($D$22&lt;&gt;0,AVERAGE(C29:C40)*B19,C45*B19),"")</f>
        <v>0</v>
      </c>
      <c r="D52" s="54">
        <f>_xlfn.IFERROR(IF($D$22&lt;&gt;0,AVERAGE(D29:D40)*C19,D45*C19),"")</f>
        <v>0</v>
      </c>
      <c r="E52" s="54">
        <f>_xlfn.IFERROR(IF($D$22&lt;&gt;0,AVERAGE(E29:E40)*D19,E45*D19),"")</f>
        <v>0</v>
      </c>
      <c r="F52" s="54">
        <f>_xlfn.IFERROR(IF($D$22&lt;&gt;0,AVERAGE(F29:F40)*E19,F45*E19),"")</f>
        <v>0</v>
      </c>
      <c r="G52" s="54">
        <f>_xlfn.IFERROR(IF($D$22&lt;&gt;0,AVERAGE(G29:G40)*F19,G45*F19),"")</f>
        <v>0</v>
      </c>
      <c r="H52" s="54">
        <f>_xlfn.IFERROR(IF($D$22&lt;&gt;0,AVERAGE(H29:H40)*G19,H45*G19),"")</f>
        <v>0</v>
      </c>
      <c r="I52" s="54">
        <f>_xlfn.IFERROR(IF($D$22&lt;&gt;0,AVERAGE(I29:I40)*H19,I45*H19),"")</f>
        <v>0</v>
      </c>
      <c r="J52" s="54">
        <f>_xlfn.IFERROR(IF($D$22&lt;&gt;0,AVERAGE(J29:J40)*I19,J45*I19),"")</f>
        <v>0</v>
      </c>
      <c r="K52" s="54">
        <f>_xlfn.IFERROR(IF($D$22&lt;&gt;0,AVERAGE(K29:K40)*J19,K45*J19),"")</f>
        <v>0</v>
      </c>
      <c r="L52" s="54">
        <f>_xlfn.IFERROR(IF($D$22&lt;&gt;0,AVERAGE(L29:L40)*K19,L45*K19),"")</f>
        <v>0</v>
      </c>
    </row>
    <row r="53" ht="15"/>
    <row r="54" ht="15"/>
    <row r="55" spans="1:12" ht="15">
      <c r="A55" s="48" t="s">
        <v>75</v>
      </c>
      <c r="B55" s="48"/>
      <c r="C55" s="48"/>
      <c r="D55" s="48"/>
      <c r="E55" s="48"/>
      <c r="F55" s="48"/>
      <c r="G55" s="48"/>
      <c r="H55" s="48"/>
      <c r="I55" s="48"/>
      <c r="J55" s="48"/>
      <c r="K55" s="48"/>
      <c r="L55" s="48"/>
    </row>
    <row r="56" ht="15"/>
    <row r="57" spans="2:4" ht="15">
      <c r="B57" s="24" t="s">
        <v>76</v>
      </c>
      <c r="C57" s="25"/>
      <c r="D57" s="55"/>
    </row>
    <row r="58" ht="15"/>
    <row r="59" ht="15"/>
    <row r="60" ht="15"/>
  </sheetData>
  <sheetProtection selectLockedCells="1" selectUnlockedCells="1"/>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44"/>
  </sheetPr>
  <dimension ref="A1:M53"/>
  <sheetViews>
    <sheetView workbookViewId="0" topLeftCell="A1">
      <selection activeCell="H1" sqref="H1"/>
    </sheetView>
  </sheetViews>
  <sheetFormatPr defaultColWidth="9.140625" defaultRowHeight="12.75"/>
  <cols>
    <col min="1" max="1" width="5.28125" style="200" customWidth="1"/>
    <col min="2" max="2" width="6.140625" style="198" customWidth="1"/>
    <col min="3" max="3" width="3.7109375" style="198" customWidth="1"/>
    <col min="4" max="4" width="7.8515625" style="198" customWidth="1"/>
    <col min="5" max="5" width="53.7109375" style="198" customWidth="1"/>
    <col min="6" max="7" width="3.28125" style="199" customWidth="1"/>
    <col min="8" max="8" width="16.421875" style="214" customWidth="1"/>
    <col min="9" max="9" width="11.421875" style="200" customWidth="1"/>
    <col min="10" max="10" width="1.7109375" style="200" customWidth="1"/>
    <col min="11" max="11" width="11.421875" style="200" customWidth="1"/>
    <col min="12" max="12" width="38.7109375" style="200" customWidth="1"/>
    <col min="13" max="13" width="1.28515625" style="200" customWidth="1"/>
    <col min="14" max="16384" width="11.421875" style="200" customWidth="1"/>
  </cols>
  <sheetData>
    <row r="1" spans="1:8" ht="12.75">
      <c r="A1" s="201" t="s">
        <v>489</v>
      </c>
      <c r="B1" s="215" t="s">
        <v>490</v>
      </c>
      <c r="C1" s="215"/>
      <c r="D1" s="215"/>
      <c r="E1" s="215"/>
      <c r="F1" s="216" t="s">
        <v>173</v>
      </c>
      <c r="G1" s="217"/>
      <c r="H1" s="218">
        <f>(H3+H5)*('2.1.c Insumos'!F91/100)</f>
        <v>21208.148555297426</v>
      </c>
    </row>
    <row r="2" ht="13.5"/>
    <row r="3" spans="2:13" ht="15.75">
      <c r="B3" s="201" t="s">
        <v>491</v>
      </c>
      <c r="C3" s="220" t="s">
        <v>426</v>
      </c>
      <c r="D3" s="220"/>
      <c r="E3" s="220"/>
      <c r="F3" s="221" t="s">
        <v>173</v>
      </c>
      <c r="G3" s="222"/>
      <c r="H3" s="223">
        <f>'2.1. Custo Variável'!E1</f>
        <v>121958.61031112554</v>
      </c>
      <c r="J3" s="15" t="s">
        <v>16</v>
      </c>
      <c r="K3" s="15"/>
      <c r="L3" s="15"/>
      <c r="M3" s="15"/>
    </row>
    <row r="4" spans="6:13" ht="15">
      <c r="F4" s="229"/>
      <c r="G4" s="229"/>
      <c r="J4" s="17"/>
      <c r="K4" s="18"/>
      <c r="L4" s="18"/>
      <c r="M4" s="19"/>
    </row>
    <row r="5" spans="2:13" ht="15">
      <c r="B5" s="201" t="s">
        <v>492</v>
      </c>
      <c r="C5" s="220" t="s">
        <v>438</v>
      </c>
      <c r="D5" s="220"/>
      <c r="E5" s="220"/>
      <c r="F5" s="221" t="s">
        <v>173</v>
      </c>
      <c r="G5" s="222"/>
      <c r="H5" s="223">
        <f>'2.2 Custo Fixo'!H1</f>
        <v>168166.54092413335</v>
      </c>
      <c r="J5" s="20"/>
      <c r="K5" s="21"/>
      <c r="L5" s="22" t="s">
        <v>18</v>
      </c>
      <c r="M5" s="23"/>
    </row>
    <row r="6" spans="6:13" ht="15">
      <c r="F6" s="229"/>
      <c r="G6" s="229"/>
      <c r="J6" s="20"/>
      <c r="K6" s="27"/>
      <c r="L6" s="22" t="s">
        <v>20</v>
      </c>
      <c r="M6" s="23"/>
    </row>
    <row r="7" spans="6:13" ht="15.75">
      <c r="F7" s="229"/>
      <c r="G7" s="229"/>
      <c r="J7" s="29"/>
      <c r="K7" s="30"/>
      <c r="L7" s="30"/>
      <c r="M7" s="31"/>
    </row>
    <row r="17" spans="2:8" s="234" customFormat="1" ht="30" customHeight="1">
      <c r="B17" s="198"/>
      <c r="C17" s="198"/>
      <c r="D17" s="198"/>
      <c r="E17" s="198"/>
      <c r="F17" s="199"/>
      <c r="G17" s="199"/>
      <c r="H17" s="214"/>
    </row>
    <row r="53" ht="15">
      <c r="L53" s="115"/>
    </row>
  </sheetData>
  <sheetProtection selectLockedCells="1" selectUnlockedCells="1"/>
  <mergeCells count="4">
    <mergeCell ref="B1:E1"/>
    <mergeCell ref="C3:E3"/>
    <mergeCell ref="J3:M3"/>
    <mergeCell ref="C5:E5"/>
  </mergeCells>
  <printOptions/>
  <pageMargins left="0.5118055555555556" right="0.5118055555555556" top="0.7875" bottom="0.78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62"/>
  </sheetPr>
  <dimension ref="A1:P53"/>
  <sheetViews>
    <sheetView workbookViewId="0" topLeftCell="A1">
      <selection activeCell="I22" sqref="I22"/>
    </sheetView>
  </sheetViews>
  <sheetFormatPr defaultColWidth="9.140625" defaultRowHeight="12.75"/>
  <cols>
    <col min="1" max="1" width="5.28125" style="200" customWidth="1"/>
    <col min="2" max="2" width="6.140625" style="198" customWidth="1"/>
    <col min="3" max="3" width="3.7109375" style="198" customWidth="1"/>
    <col min="4" max="4" width="7.8515625" style="198" customWidth="1"/>
    <col min="5" max="5" width="53.7109375" style="198" customWidth="1"/>
    <col min="6" max="7" width="3.28125" style="199" customWidth="1"/>
    <col min="8" max="8" width="16.421875" style="214" customWidth="1"/>
    <col min="9" max="9" width="11.421875" style="200" customWidth="1"/>
    <col min="10" max="10" width="1.7109375" style="200" customWidth="1"/>
    <col min="11" max="11" width="11.421875" style="200" customWidth="1"/>
    <col min="12" max="12" width="38.7109375" style="200" customWidth="1"/>
    <col min="13" max="13" width="1.28515625" style="200" customWidth="1"/>
    <col min="14" max="15" width="11.421875" style="200" customWidth="1"/>
    <col min="16" max="16" width="16.28125" style="200" customWidth="1"/>
    <col min="17" max="16384" width="11.421875" style="200" customWidth="1"/>
  </cols>
  <sheetData>
    <row r="1" spans="1:16" ht="12.75">
      <c r="A1" s="201" t="s">
        <v>493</v>
      </c>
      <c r="B1" s="215" t="s">
        <v>494</v>
      </c>
      <c r="C1" s="215"/>
      <c r="D1" s="215"/>
      <c r="E1" s="215"/>
      <c r="F1" s="216" t="s">
        <v>173</v>
      </c>
      <c r="G1" s="217"/>
      <c r="H1" s="240" t="e">
        <f>H3/H5</f>
        <v>#DIV/0!</v>
      </c>
      <c r="P1" s="241"/>
    </row>
    <row r="2" ht="13.5"/>
    <row r="3" spans="2:16" ht="15.75">
      <c r="B3" s="201" t="s">
        <v>495</v>
      </c>
      <c r="C3" s="220" t="s">
        <v>496</v>
      </c>
      <c r="D3" s="220"/>
      <c r="E3" s="220"/>
      <c r="F3" s="221" t="s">
        <v>173</v>
      </c>
      <c r="G3" s="222"/>
      <c r="H3" s="242">
        <f>'4. Custo Total'!H1</f>
        <v>380756.3541509772</v>
      </c>
      <c r="J3" s="15" t="s">
        <v>16</v>
      </c>
      <c r="K3" s="15"/>
      <c r="L3" s="15"/>
      <c r="M3" s="15"/>
      <c r="P3" s="231"/>
    </row>
    <row r="4" spans="6:13" ht="15">
      <c r="F4" s="229"/>
      <c r="G4" s="229"/>
      <c r="J4" s="17"/>
      <c r="K4" s="18"/>
      <c r="L4" s="18"/>
      <c r="M4" s="19"/>
    </row>
    <row r="5" spans="2:16" ht="15">
      <c r="B5" s="201" t="s">
        <v>497</v>
      </c>
      <c r="C5" s="220" t="s">
        <v>498</v>
      </c>
      <c r="D5" s="220"/>
      <c r="E5" s="220"/>
      <c r="F5" s="221" t="s">
        <v>173</v>
      </c>
      <c r="G5" s="222"/>
      <c r="H5" s="243">
        <f>'1.1. Passageiros'!D11</f>
        <v>0</v>
      </c>
      <c r="J5" s="20"/>
      <c r="K5" s="21"/>
      <c r="L5" s="22" t="s">
        <v>18</v>
      </c>
      <c r="M5" s="23"/>
      <c r="P5" s="214"/>
    </row>
    <row r="6" spans="6:13" ht="15">
      <c r="F6" s="229"/>
      <c r="G6" s="229"/>
      <c r="J6" s="20"/>
      <c r="K6" s="27"/>
      <c r="L6" s="22" t="s">
        <v>20</v>
      </c>
      <c r="M6" s="23"/>
    </row>
    <row r="7" spans="10:13" ht="15">
      <c r="J7" s="20"/>
      <c r="K7" s="28"/>
      <c r="L7" s="22" t="s">
        <v>22</v>
      </c>
      <c r="M7" s="23"/>
    </row>
    <row r="8" spans="10:13" ht="15.75">
      <c r="J8" s="29"/>
      <c r="K8" s="30"/>
      <c r="L8" s="30"/>
      <c r="M8" s="31"/>
    </row>
    <row r="18" spans="2:8" s="234" customFormat="1" ht="30" customHeight="1">
      <c r="B18" s="198"/>
      <c r="C18" s="198"/>
      <c r="D18" s="198"/>
      <c r="E18" s="198"/>
      <c r="F18" s="199"/>
      <c r="G18" s="199"/>
      <c r="H18" s="214"/>
    </row>
    <row r="53" ht="15">
      <c r="L53" s="115"/>
    </row>
  </sheetData>
  <sheetProtection selectLockedCells="1" selectUnlockedCells="1"/>
  <mergeCells count="4">
    <mergeCell ref="B1:E1"/>
    <mergeCell ref="C3:E3"/>
    <mergeCell ref="J3:M3"/>
    <mergeCell ref="C5:E5"/>
  </mergeCells>
  <printOptions/>
  <pageMargins left="0.5118055555555556" right="0.5118055555555556" top="0.7875" bottom="0.7875" header="0.5118110236220472" footer="0.5118110236220472"/>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62"/>
  </sheetPr>
  <dimension ref="A1:P53"/>
  <sheetViews>
    <sheetView workbookViewId="0" topLeftCell="A1">
      <selection activeCell="H1" sqref="H1"/>
    </sheetView>
  </sheetViews>
  <sheetFormatPr defaultColWidth="9.140625" defaultRowHeight="12.75"/>
  <cols>
    <col min="1" max="1" width="5.28125" style="200" customWidth="1"/>
    <col min="2" max="2" width="6.140625" style="198" customWidth="1"/>
    <col min="3" max="3" width="3.7109375" style="198" customWidth="1"/>
    <col min="4" max="4" width="7.8515625" style="198" customWidth="1"/>
    <col min="5" max="5" width="53.7109375" style="198" customWidth="1"/>
    <col min="6" max="7" width="3.28125" style="199" customWidth="1"/>
    <col min="8" max="8" width="16.421875" style="214" customWidth="1"/>
    <col min="9" max="9" width="11.421875" style="200" customWidth="1"/>
    <col min="10" max="10" width="1.7109375" style="200" customWidth="1"/>
    <col min="11" max="11" width="11.421875" style="200" customWidth="1"/>
    <col min="12" max="12" width="38.7109375" style="200" customWidth="1"/>
    <col min="13" max="13" width="1.28515625" style="200" customWidth="1"/>
    <col min="14" max="15" width="11.421875" style="200" customWidth="1"/>
    <col min="16" max="16" width="16.28125" style="200" customWidth="1"/>
    <col min="17" max="16384" width="11.421875" style="200" customWidth="1"/>
  </cols>
  <sheetData>
    <row r="1" spans="1:16" ht="12.75">
      <c r="A1" s="201" t="s">
        <v>499</v>
      </c>
      <c r="B1" s="215" t="s">
        <v>500</v>
      </c>
      <c r="C1" s="215"/>
      <c r="D1" s="215"/>
      <c r="E1" s="215"/>
      <c r="F1" s="216" t="s">
        <v>173</v>
      </c>
      <c r="G1" s="217"/>
      <c r="H1" s="240" t="e">
        <f>(H3-H7)/H5</f>
        <v>#DIV/0!</v>
      </c>
      <c r="P1" s="241"/>
    </row>
    <row r="2" ht="13.5"/>
    <row r="3" spans="2:16" ht="15.75">
      <c r="B3" s="201" t="s">
        <v>501</v>
      </c>
      <c r="C3" s="220" t="s">
        <v>496</v>
      </c>
      <c r="D3" s="220"/>
      <c r="E3" s="220"/>
      <c r="F3" s="221" t="s">
        <v>173</v>
      </c>
      <c r="G3" s="222"/>
      <c r="H3" s="242">
        <f>'4. Custo Total'!H1</f>
        <v>380756.3541509772</v>
      </c>
      <c r="J3" s="15" t="s">
        <v>16</v>
      </c>
      <c r="K3" s="15"/>
      <c r="L3" s="15"/>
      <c r="M3" s="15"/>
      <c r="P3" s="231"/>
    </row>
    <row r="4" spans="6:13" ht="15">
      <c r="F4" s="229"/>
      <c r="G4" s="229"/>
      <c r="J4" s="17"/>
      <c r="K4" s="18"/>
      <c r="L4" s="18"/>
      <c r="M4" s="19"/>
    </row>
    <row r="5" spans="2:16" ht="15">
      <c r="B5" s="201" t="s">
        <v>502</v>
      </c>
      <c r="C5" s="220" t="s">
        <v>503</v>
      </c>
      <c r="D5" s="220"/>
      <c r="E5" s="220"/>
      <c r="F5" s="221" t="s">
        <v>173</v>
      </c>
      <c r="G5" s="222"/>
      <c r="H5" s="243" t="e">
        <f>'1.4 Indicadores'!E8</f>
        <v>#DIV/0!</v>
      </c>
      <c r="J5" s="20"/>
      <c r="K5" s="21"/>
      <c r="L5" s="22" t="s">
        <v>18</v>
      </c>
      <c r="M5" s="23"/>
      <c r="P5" s="214"/>
    </row>
    <row r="6" spans="6:13" ht="15">
      <c r="F6" s="229"/>
      <c r="G6" s="229"/>
      <c r="J6" s="20"/>
      <c r="K6" s="27"/>
      <c r="L6" s="22" t="s">
        <v>20</v>
      </c>
      <c r="M6" s="23"/>
    </row>
    <row r="7" spans="2:13" ht="15">
      <c r="B7" s="201" t="s">
        <v>504</v>
      </c>
      <c r="C7" s="220" t="s">
        <v>505</v>
      </c>
      <c r="D7" s="220"/>
      <c r="E7" s="220"/>
      <c r="F7" s="221" t="s">
        <v>173</v>
      </c>
      <c r="G7" s="222"/>
      <c r="H7" s="223">
        <f>'2.1.c Insumos'!F105</f>
        <v>0</v>
      </c>
      <c r="J7" s="20"/>
      <c r="K7" s="28"/>
      <c r="L7" s="22" t="s">
        <v>22</v>
      </c>
      <c r="M7" s="23"/>
    </row>
    <row r="8" spans="10:13" ht="15.75">
      <c r="J8" s="29"/>
      <c r="K8" s="30"/>
      <c r="L8" s="30"/>
      <c r="M8" s="31"/>
    </row>
    <row r="18" spans="2:8" s="234" customFormat="1" ht="30" customHeight="1">
      <c r="B18" s="198"/>
      <c r="C18" s="198"/>
      <c r="D18" s="198"/>
      <c r="E18" s="198"/>
      <c r="F18" s="199"/>
      <c r="G18" s="199"/>
      <c r="H18" s="214"/>
    </row>
    <row r="25" ht="12.75">
      <c r="J25" s="200" t="e">
        <f>J25:N30</f>
        <v>#VALUE!</v>
      </c>
    </row>
    <row r="53" ht="15">
      <c r="L53" s="115"/>
    </row>
  </sheetData>
  <sheetProtection selectLockedCells="1" selectUnlockedCells="1"/>
  <mergeCells count="5">
    <mergeCell ref="B1:E1"/>
    <mergeCell ref="C3:E3"/>
    <mergeCell ref="J3:M3"/>
    <mergeCell ref="C5:E5"/>
    <mergeCell ref="C7:E7"/>
  </mergeCells>
  <printOptions/>
  <pageMargins left="0.5118055555555556" right="0.5118055555555556" top="0.7875" bottom="0.7875" header="0.5118110236220472" footer="0.5118110236220472"/>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62"/>
  </sheetPr>
  <dimension ref="A1:Q53"/>
  <sheetViews>
    <sheetView workbookViewId="0" topLeftCell="A1">
      <selection activeCell="H7" sqref="H7"/>
    </sheetView>
  </sheetViews>
  <sheetFormatPr defaultColWidth="9.140625" defaultRowHeight="12.75"/>
  <cols>
    <col min="1" max="1" width="5.28125" style="200" customWidth="1"/>
    <col min="2" max="2" width="6.140625" style="198" customWidth="1"/>
    <col min="3" max="3" width="3.7109375" style="198" customWidth="1"/>
    <col min="4" max="4" width="7.8515625" style="198" customWidth="1"/>
    <col min="5" max="5" width="53.7109375" style="198" customWidth="1"/>
    <col min="6" max="7" width="3.28125" style="199" customWidth="1"/>
    <col min="8" max="8" width="16.421875" style="214" customWidth="1"/>
    <col min="9" max="9" width="11.421875" style="200" customWidth="1"/>
    <col min="10" max="10" width="1.7109375" style="200" customWidth="1"/>
    <col min="11" max="11" width="11.421875" style="200" customWidth="1"/>
    <col min="12" max="12" width="38.7109375" style="200" customWidth="1"/>
    <col min="13" max="13" width="1.28515625" style="200" customWidth="1"/>
    <col min="14" max="14" width="11.421875" style="200" customWidth="1"/>
    <col min="15" max="15" width="16.28125" style="200" customWidth="1"/>
    <col min="16" max="16" width="11.421875" style="200" customWidth="1"/>
    <col min="17" max="17" width="14.00390625" style="200" customWidth="1"/>
    <col min="18" max="16384" width="11.421875" style="200" customWidth="1"/>
  </cols>
  <sheetData>
    <row r="1" spans="1:17" ht="12.75">
      <c r="A1" s="219" t="s">
        <v>506</v>
      </c>
      <c r="B1" s="215" t="s">
        <v>507</v>
      </c>
      <c r="C1" s="215"/>
      <c r="D1" s="215"/>
      <c r="E1" s="215"/>
      <c r="F1" s="216" t="s">
        <v>173</v>
      </c>
      <c r="G1" s="217"/>
      <c r="H1" s="218">
        <f>(H3+H5+H7)+((H3+H5+H7)*H9)</f>
        <v>380756.3541509772</v>
      </c>
      <c r="O1" s="231"/>
      <c r="Q1" s="244"/>
    </row>
    <row r="2" ht="13.5"/>
    <row r="3" spans="2:15" ht="15.75">
      <c r="B3" s="219" t="s">
        <v>425</v>
      </c>
      <c r="C3" s="220" t="s">
        <v>426</v>
      </c>
      <c r="D3" s="220"/>
      <c r="E3" s="220"/>
      <c r="F3" s="221" t="s">
        <v>173</v>
      </c>
      <c r="G3" s="222"/>
      <c r="H3" s="223">
        <f>'2.1. Custo Variável'!E1</f>
        <v>121958.61031112554</v>
      </c>
      <c r="J3" s="15" t="s">
        <v>16</v>
      </c>
      <c r="K3" s="15"/>
      <c r="L3" s="15"/>
      <c r="M3" s="15"/>
      <c r="O3" s="244"/>
    </row>
    <row r="4" spans="2:13" ht="15">
      <c r="B4" s="245"/>
      <c r="F4" s="229"/>
      <c r="G4" s="229"/>
      <c r="J4" s="17"/>
      <c r="K4" s="18"/>
      <c r="L4" s="18"/>
      <c r="M4" s="19"/>
    </row>
    <row r="5" spans="2:15" ht="15">
      <c r="B5" s="219" t="s">
        <v>437</v>
      </c>
      <c r="C5" s="220" t="s">
        <v>438</v>
      </c>
      <c r="D5" s="220"/>
      <c r="E5" s="220"/>
      <c r="F5" s="221" t="s">
        <v>173</v>
      </c>
      <c r="G5" s="222"/>
      <c r="H5" s="223">
        <f>'2.2 Custo Fixo'!H1</f>
        <v>168166.54092413335</v>
      </c>
      <c r="J5" s="20"/>
      <c r="K5" s="21"/>
      <c r="L5" s="22" t="s">
        <v>18</v>
      </c>
      <c r="M5" s="23"/>
      <c r="O5" s="214"/>
    </row>
    <row r="6" spans="2:13" ht="15">
      <c r="B6" s="245"/>
      <c r="F6" s="229"/>
      <c r="G6" s="229"/>
      <c r="J6" s="20"/>
      <c r="K6" s="27"/>
      <c r="L6" s="22" t="s">
        <v>20</v>
      </c>
      <c r="M6" s="23"/>
    </row>
    <row r="7" spans="2:13" ht="15">
      <c r="B7" s="219" t="s">
        <v>489</v>
      </c>
      <c r="C7" s="220" t="s">
        <v>490</v>
      </c>
      <c r="D7" s="220"/>
      <c r="E7" s="220"/>
      <c r="F7" s="221" t="s">
        <v>173</v>
      </c>
      <c r="G7" s="222"/>
      <c r="H7" s="223">
        <f>'2.3 RPS'!H1</f>
        <v>21208.148555297426</v>
      </c>
      <c r="J7" s="20"/>
      <c r="K7" s="28"/>
      <c r="L7" s="22" t="s">
        <v>22</v>
      </c>
      <c r="M7" s="23"/>
    </row>
    <row r="8" spans="2:13" ht="15.75">
      <c r="B8" s="245"/>
      <c r="F8" s="229"/>
      <c r="G8" s="229"/>
      <c r="J8" s="29"/>
      <c r="K8" s="30"/>
      <c r="L8" s="30"/>
      <c r="M8" s="31"/>
    </row>
    <row r="9" spans="2:8" ht="12.75">
      <c r="B9" s="219" t="s">
        <v>508</v>
      </c>
      <c r="C9" s="220" t="s">
        <v>509</v>
      </c>
      <c r="D9" s="220"/>
      <c r="E9" s="220"/>
      <c r="F9" s="221"/>
      <c r="G9" s="222"/>
      <c r="H9" s="246">
        <f>SUM('2.1.c Insumos'!F96:F102)/100</f>
        <v>0.22298628</v>
      </c>
    </row>
    <row r="17" spans="2:8" s="234" customFormat="1" ht="30" customHeight="1">
      <c r="B17" s="198"/>
      <c r="C17" s="198"/>
      <c r="D17" s="198"/>
      <c r="E17" s="198"/>
      <c r="F17" s="199"/>
      <c r="G17" s="199"/>
      <c r="H17" s="214"/>
    </row>
    <row r="53" ht="15">
      <c r="L53" s="115"/>
    </row>
  </sheetData>
  <sheetProtection selectLockedCells="1" selectUnlockedCells="1"/>
  <mergeCells count="6">
    <mergeCell ref="B1:E1"/>
    <mergeCell ref="C3:E3"/>
    <mergeCell ref="J3:M3"/>
    <mergeCell ref="C5:E5"/>
    <mergeCell ref="C7:E7"/>
    <mergeCell ref="C9:E9"/>
  </mergeCells>
  <printOptions/>
  <pageMargins left="0.5118055555555556" right="0.5118055555555556" top="0.7875" bottom="0.78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56"/>
  </sheetPr>
  <dimension ref="A1:Z66"/>
  <sheetViews>
    <sheetView tabSelected="1" workbookViewId="0" topLeftCell="A46">
      <selection activeCell="J47" sqref="J47"/>
    </sheetView>
  </sheetViews>
  <sheetFormatPr defaultColWidth="9.140625" defaultRowHeight="12.75"/>
  <cols>
    <col min="1" max="9" width="9.140625" style="0" customWidth="1"/>
    <col min="10" max="10" width="20.00390625" style="0" customWidth="1"/>
    <col min="11" max="11" width="14.28125" style="0" customWidth="1"/>
    <col min="12" max="12" width="16.00390625" style="0" customWidth="1"/>
    <col min="13" max="13" width="11.00390625" style="0" customWidth="1"/>
    <col min="14" max="14" width="11.57421875" style="247" customWidth="1"/>
    <col min="15" max="15" width="9.140625" style="0" customWidth="1"/>
    <col min="16" max="16" width="16.28125" style="0" customWidth="1"/>
  </cols>
  <sheetData>
    <row r="1" spans="1:26" ht="12.75">
      <c r="A1" s="140"/>
      <c r="B1" s="140"/>
      <c r="C1" s="140"/>
      <c r="D1" s="140"/>
      <c r="E1" s="140"/>
      <c r="F1" s="140"/>
      <c r="G1" s="140"/>
      <c r="H1" s="140"/>
      <c r="I1" s="140"/>
      <c r="J1" s="140"/>
      <c r="K1" s="140"/>
      <c r="L1" s="140"/>
      <c r="M1" s="140"/>
      <c r="N1" s="248"/>
      <c r="O1" s="140"/>
      <c r="P1" s="140"/>
      <c r="Q1" s="140"/>
      <c r="R1" s="140"/>
      <c r="S1" s="140"/>
      <c r="T1" s="140"/>
      <c r="U1" s="140"/>
      <c r="V1" s="140"/>
      <c r="W1" s="140"/>
      <c r="X1" s="140"/>
      <c r="Y1" s="140"/>
      <c r="Z1" s="140"/>
    </row>
    <row r="2" spans="1:26" ht="12.75">
      <c r="A2" s="140"/>
      <c r="B2" s="249" t="s">
        <v>510</v>
      </c>
      <c r="C2" s="249"/>
      <c r="D2" s="249"/>
      <c r="E2" s="249"/>
      <c r="F2" s="249"/>
      <c r="G2" s="249"/>
      <c r="H2" s="249"/>
      <c r="I2" s="249"/>
      <c r="J2" s="249"/>
      <c r="K2" s="249"/>
      <c r="L2" s="249"/>
      <c r="M2" s="249"/>
      <c r="N2" s="250"/>
      <c r="O2" s="140"/>
      <c r="P2" s="140"/>
      <c r="Q2" s="140"/>
      <c r="R2" s="140"/>
      <c r="S2" s="140"/>
      <c r="T2" s="140"/>
      <c r="U2" s="140"/>
      <c r="V2" s="140"/>
      <c r="W2" s="140"/>
      <c r="X2" s="140"/>
      <c r="Y2" s="140"/>
      <c r="Z2" s="140"/>
    </row>
    <row r="3" spans="1:26" ht="12.75">
      <c r="A3" s="140"/>
      <c r="B3" s="251"/>
      <c r="C3" s="251"/>
      <c r="D3" s="251"/>
      <c r="E3" s="251"/>
      <c r="F3" s="251"/>
      <c r="G3" s="251"/>
      <c r="H3" s="251"/>
      <c r="I3" s="251"/>
      <c r="J3" s="251"/>
      <c r="K3" s="251"/>
      <c r="L3" s="251"/>
      <c r="M3" s="251"/>
      <c r="N3" s="250"/>
      <c r="O3" s="140"/>
      <c r="P3" s="140"/>
      <c r="Q3" s="140"/>
      <c r="R3" s="140"/>
      <c r="S3" s="140"/>
      <c r="T3" s="140"/>
      <c r="U3" s="140"/>
      <c r="V3" s="140"/>
      <c r="W3" s="140"/>
      <c r="X3" s="140"/>
      <c r="Y3" s="140"/>
      <c r="Z3" s="140"/>
    </row>
    <row r="4" spans="1:26" ht="12.75">
      <c r="A4" s="140"/>
      <c r="B4" s="252" t="s">
        <v>511</v>
      </c>
      <c r="C4" s="252"/>
      <c r="D4" s="252"/>
      <c r="E4" s="252"/>
      <c r="F4" s="252"/>
      <c r="G4" s="252"/>
      <c r="H4" s="252"/>
      <c r="I4" s="252"/>
      <c r="J4" s="253" t="s">
        <v>512</v>
      </c>
      <c r="K4" s="253" t="s">
        <v>513</v>
      </c>
      <c r="L4" s="253" t="s">
        <v>514</v>
      </c>
      <c r="M4" s="254" t="s">
        <v>326</v>
      </c>
      <c r="N4" s="253" t="s">
        <v>515</v>
      </c>
      <c r="O4" s="140"/>
      <c r="P4" s="140"/>
      <c r="Q4" s="140"/>
      <c r="R4" s="140"/>
      <c r="S4" s="140"/>
      <c r="T4" s="140"/>
      <c r="U4" s="140"/>
      <c r="V4" s="140"/>
      <c r="W4" s="140"/>
      <c r="X4" s="140"/>
      <c r="Y4" s="140"/>
      <c r="Z4" s="140"/>
    </row>
    <row r="5" spans="1:26" ht="12.75">
      <c r="A5" s="140"/>
      <c r="B5" s="255" t="s">
        <v>516</v>
      </c>
      <c r="C5" s="256"/>
      <c r="D5" s="256"/>
      <c r="E5" s="256"/>
      <c r="F5" s="256"/>
      <c r="G5" s="256"/>
      <c r="H5" s="256"/>
      <c r="I5" s="256"/>
      <c r="J5" s="256"/>
      <c r="K5" s="256"/>
      <c r="L5" s="256"/>
      <c r="M5" s="256"/>
      <c r="N5" s="257"/>
      <c r="O5" s="140"/>
      <c r="P5" s="140"/>
      <c r="Q5" s="140"/>
      <c r="R5" s="140"/>
      <c r="S5" s="140"/>
      <c r="T5" s="140"/>
      <c r="U5" s="140"/>
      <c r="V5" s="140"/>
      <c r="W5" s="140"/>
      <c r="X5" s="140"/>
      <c r="Y5" s="140"/>
      <c r="Z5" s="140"/>
    </row>
    <row r="6" spans="1:26" ht="12.75">
      <c r="A6" s="140"/>
      <c r="B6" s="258" t="s">
        <v>517</v>
      </c>
      <c r="C6" s="258"/>
      <c r="D6" s="258"/>
      <c r="E6" s="258"/>
      <c r="F6" s="258"/>
      <c r="G6" s="258"/>
      <c r="H6" s="258"/>
      <c r="I6" s="258"/>
      <c r="J6" s="259">
        <f>'2.1. Custo Variável'!E3</f>
        <v>87282.60703636364</v>
      </c>
      <c r="K6" s="259">
        <f>J6/(IF('1.2. KM programada'!$D$7="x",SUM('1.2. KM programada'!$N$16:$P$26),IF('1.2. KM programada'!$D$7="X",SUM('1.2. KM programada'!$N$16:$P$111),'1.2. KM programada'!$D$10)))</f>
        <v>2.017581818181818</v>
      </c>
      <c r="L6" s="259">
        <f>J6/SUM('1.3 Frota Total'!$C$19:$F$25)</f>
        <v>6234.471931168831</v>
      </c>
      <c r="M6" s="260">
        <f aca="true" t="shared" si="0" ref="M6:M10">J6/$J$11</f>
        <v>0.7156740045963067</v>
      </c>
      <c r="N6" s="261">
        <f aca="true" t="shared" si="1" ref="N6:N11">J6/$J$62</f>
        <v>0.21783273974508433</v>
      </c>
      <c r="O6" s="140"/>
      <c r="P6" s="140"/>
      <c r="Q6" s="140"/>
      <c r="R6" s="140"/>
      <c r="S6" s="140"/>
      <c r="T6" s="140"/>
      <c r="U6" s="140"/>
      <c r="V6" s="140"/>
      <c r="W6" s="140"/>
      <c r="X6" s="140"/>
      <c r="Y6" s="140"/>
      <c r="Z6" s="140"/>
    </row>
    <row r="7" spans="1:26" ht="12.75">
      <c r="A7" s="140"/>
      <c r="B7" s="258" t="s">
        <v>518</v>
      </c>
      <c r="C7" s="258"/>
      <c r="D7" s="258"/>
      <c r="E7" s="258"/>
      <c r="F7" s="258"/>
      <c r="G7" s="258"/>
      <c r="H7" s="258"/>
      <c r="I7" s="258"/>
      <c r="J7" s="259">
        <f>'2.1. Custo Variável'!E4</f>
        <v>6014.865236666666</v>
      </c>
      <c r="K7" s="259">
        <f>J7/(IF('1.2. KM programada'!$D$7="x",SUM('1.2. KM programada'!$N$16:$P$26),IF('1.2. KM programada'!$D$7="X",SUM('1.2. KM programada'!$N$16:$P$111),'1.2. KM programada'!$D$10)))</f>
        <v>0.13903666666666664</v>
      </c>
      <c r="L7" s="259">
        <f>J7/SUM('1.3 Frota Total'!$C$19:$F$25)</f>
        <v>429.6332311904761</v>
      </c>
      <c r="M7" s="260">
        <f t="shared" si="0"/>
        <v>0.04931890599050198</v>
      </c>
      <c r="N7" s="261">
        <f t="shared" si="1"/>
        <v>0.01501140511482082</v>
      </c>
      <c r="O7" s="140"/>
      <c r="P7" s="140"/>
      <c r="Q7" s="140"/>
      <c r="R7" s="140"/>
      <c r="S7" s="140"/>
      <c r="T7" s="140"/>
      <c r="U7" s="140"/>
      <c r="V7" s="140"/>
      <c r="W7" s="140"/>
      <c r="X7" s="140"/>
      <c r="Y7" s="140"/>
      <c r="Z7" s="140"/>
    </row>
    <row r="8" spans="1:26" ht="12.75">
      <c r="A8" s="140"/>
      <c r="B8" s="258" t="s">
        <v>519</v>
      </c>
      <c r="C8" s="258"/>
      <c r="D8" s="258"/>
      <c r="E8" s="258"/>
      <c r="F8" s="258"/>
      <c r="G8" s="258"/>
      <c r="H8" s="258"/>
      <c r="I8" s="258"/>
      <c r="J8" s="259">
        <f>'2.1. Custo Variável'!E6</f>
        <v>9144.139371428571</v>
      </c>
      <c r="K8" s="259">
        <f>J8/(IF('1.2. KM programada'!$D$7="x",SUM('1.2. KM programada'!$N$16:$P$26),IF('1.2. KM programada'!$D$7="X",SUM('1.2. KM programada'!$N$16:$P$111),'1.2. KM programada'!$D$10)))</f>
        <v>0.21137142857142857</v>
      </c>
      <c r="L8" s="259">
        <f>J8/SUM('1.3 Frota Total'!$C$19:$F$25)</f>
        <v>653.152812244898</v>
      </c>
      <c r="M8" s="260">
        <f t="shared" si="0"/>
        <v>0.07497739887410318</v>
      </c>
      <c r="N8" s="261">
        <f t="shared" si="1"/>
        <v>0.022821189690854643</v>
      </c>
      <c r="O8" s="140"/>
      <c r="P8" s="140"/>
      <c r="Q8" s="140"/>
      <c r="R8" s="140"/>
      <c r="S8" s="140"/>
      <c r="T8" s="140"/>
      <c r="U8" s="140"/>
      <c r="V8" s="140"/>
      <c r="W8" s="140"/>
      <c r="X8" s="140"/>
      <c r="Y8" s="140"/>
      <c r="Z8" s="140"/>
    </row>
    <row r="9" spans="1:26" ht="12.75">
      <c r="A9" s="140"/>
      <c r="B9" s="258" t="s">
        <v>520</v>
      </c>
      <c r="C9" s="258"/>
      <c r="D9" s="258"/>
      <c r="E9" s="258"/>
      <c r="F9" s="258"/>
      <c r="G9" s="258"/>
      <c r="H9" s="258"/>
      <c r="I9" s="258"/>
      <c r="J9" s="259">
        <f>'2.1. Custo Variável'!E7</f>
        <v>18543.466666666667</v>
      </c>
      <c r="K9" s="259">
        <f>J9/(IF('1.2. KM programada'!$D$7="x",SUM('1.2. KM programada'!$N$16:$P$26),IF('1.2. KM programada'!$D$7="X",SUM('1.2. KM programada'!$N$16:$P$111),'1.2. KM programada'!$D$10)))</f>
        <v>0.4286416556868003</v>
      </c>
      <c r="L9" s="259">
        <f>J9/SUM('1.3 Frota Total'!$C$19:$F$25)</f>
        <v>1324.5333333333333</v>
      </c>
      <c r="M9" s="260">
        <f t="shared" si="0"/>
        <v>0.15204721191362297</v>
      </c>
      <c r="N9" s="261">
        <f t="shared" si="1"/>
        <v>0.046279256377948975</v>
      </c>
      <c r="O9" s="140"/>
      <c r="P9" s="140"/>
      <c r="Q9" s="140"/>
      <c r="R9" s="140"/>
      <c r="S9" s="140"/>
      <c r="T9" s="140"/>
      <c r="U9" s="140"/>
      <c r="V9" s="140"/>
      <c r="W9" s="140"/>
      <c r="X9" s="140"/>
      <c r="Y9" s="140"/>
      <c r="Z9" s="140"/>
    </row>
    <row r="10" spans="1:26" ht="12.75">
      <c r="A10" s="140"/>
      <c r="B10" s="262" t="s">
        <v>521</v>
      </c>
      <c r="C10" s="262"/>
      <c r="D10" s="262"/>
      <c r="E10" s="262"/>
      <c r="F10" s="262"/>
      <c r="G10" s="262"/>
      <c r="H10" s="262"/>
      <c r="I10" s="262"/>
      <c r="J10" s="263">
        <f>'2.1. Custo Variável'!E8</f>
        <v>973.532</v>
      </c>
      <c r="K10" s="259">
        <f>J10/(IF('1.2. KM programada'!$D$7="x",SUM('1.2. KM programada'!$N$16:$P$26),IF('1.2. KM programada'!$D$7="X",SUM('1.2. KM programada'!$N$16:$P$111),'1.2. KM programada'!$D$10)))</f>
        <v>0.022503686923557014</v>
      </c>
      <c r="L10" s="263">
        <f>J10/SUM('1.3 Frota Total'!$C$19:$F$25)</f>
        <v>69.538</v>
      </c>
      <c r="M10" s="264">
        <f t="shared" si="0"/>
        <v>0.007982478625465205</v>
      </c>
      <c r="N10" s="261">
        <f t="shared" si="1"/>
        <v>0.0024296609598423212</v>
      </c>
      <c r="O10" s="140"/>
      <c r="P10" s="140"/>
      <c r="Q10" s="140"/>
      <c r="R10" s="140"/>
      <c r="S10" s="140"/>
      <c r="T10" s="140"/>
      <c r="U10" s="140"/>
      <c r="V10" s="140"/>
      <c r="W10" s="140"/>
      <c r="X10" s="140"/>
      <c r="Y10" s="140"/>
      <c r="Z10" s="140"/>
    </row>
    <row r="11" spans="1:26" ht="12.75">
      <c r="A11" s="140"/>
      <c r="B11" s="265" t="s">
        <v>522</v>
      </c>
      <c r="C11" s="265"/>
      <c r="D11" s="265"/>
      <c r="E11" s="265"/>
      <c r="F11" s="265"/>
      <c r="G11" s="265"/>
      <c r="H11" s="265"/>
      <c r="I11" s="265"/>
      <c r="J11" s="266">
        <f>SUM(J6:J10)</f>
        <v>121958.61031112554</v>
      </c>
      <c r="K11" s="259">
        <f>J11/(IF('1.2. KM programada'!$D$7="x",SUM('1.2. KM programada'!$N$16:$P$26),IF('1.2. KM programada'!$D$7="X",SUM('1.2. KM programada'!$N$16:$P$111),'1.2. KM programada'!$D$10)))</f>
        <v>2.8191352560302705</v>
      </c>
      <c r="L11" s="266">
        <f>SUM(L6:L10)</f>
        <v>8711.329307937538</v>
      </c>
      <c r="M11" s="267">
        <f>SUM(M6:M10)</f>
        <v>1</v>
      </c>
      <c r="N11" s="261">
        <f t="shared" si="1"/>
        <v>0.30437425188855105</v>
      </c>
      <c r="O11" s="140"/>
      <c r="P11" s="140"/>
      <c r="Q11" s="140"/>
      <c r="R11" s="140"/>
      <c r="S11" s="140"/>
      <c r="T11" s="140"/>
      <c r="U11" s="140"/>
      <c r="V11" s="140"/>
      <c r="W11" s="140"/>
      <c r="X11" s="140"/>
      <c r="Y11" s="140"/>
      <c r="Z11" s="140"/>
    </row>
    <row r="12" spans="1:26" ht="12.75">
      <c r="A12" s="140"/>
      <c r="B12" s="255" t="s">
        <v>523</v>
      </c>
      <c r="C12" s="256"/>
      <c r="D12" s="256"/>
      <c r="E12" s="256"/>
      <c r="F12" s="256"/>
      <c r="G12" s="256"/>
      <c r="H12" s="256"/>
      <c r="I12" s="256"/>
      <c r="J12" s="256"/>
      <c r="K12" s="256"/>
      <c r="L12" s="256"/>
      <c r="M12" s="256"/>
      <c r="N12" s="257"/>
      <c r="O12" s="140"/>
      <c r="P12" s="140"/>
      <c r="Q12" s="140"/>
      <c r="R12" s="140"/>
      <c r="S12" s="140"/>
      <c r="T12" s="140"/>
      <c r="U12" s="140"/>
      <c r="V12" s="140"/>
      <c r="W12" s="140"/>
      <c r="X12" s="140"/>
      <c r="Y12" s="140"/>
      <c r="Z12" s="140"/>
    </row>
    <row r="13" spans="1:26" ht="12.75">
      <c r="A13" s="140"/>
      <c r="B13" s="268" t="s">
        <v>524</v>
      </c>
      <c r="C13" s="269"/>
      <c r="D13" s="269"/>
      <c r="E13" s="269"/>
      <c r="F13" s="269"/>
      <c r="G13" s="269"/>
      <c r="H13" s="269"/>
      <c r="I13" s="269"/>
      <c r="J13" s="269"/>
      <c r="K13" s="269"/>
      <c r="L13" s="269"/>
      <c r="M13" s="269"/>
      <c r="N13" s="257"/>
      <c r="O13" s="140"/>
      <c r="P13" s="140"/>
      <c r="Q13" s="140"/>
      <c r="R13" s="140"/>
      <c r="S13" s="140"/>
      <c r="T13" s="140"/>
      <c r="U13" s="140"/>
      <c r="V13" s="140"/>
      <c r="W13" s="140"/>
      <c r="X13" s="140"/>
      <c r="Y13" s="140"/>
      <c r="Z13" s="140"/>
    </row>
    <row r="14" spans="1:26" ht="12.75">
      <c r="A14" s="140"/>
      <c r="B14" s="258" t="s">
        <v>525</v>
      </c>
      <c r="C14" s="258"/>
      <c r="D14" s="258"/>
      <c r="E14" s="258"/>
      <c r="F14" s="258"/>
      <c r="G14" s="258"/>
      <c r="H14" s="258"/>
      <c r="I14" s="258"/>
      <c r="J14" s="259">
        <f>'2.2 Custo Fixo'!H19</f>
        <v>90272.078748</v>
      </c>
      <c r="K14" s="259">
        <f>J14/(IF('1.2. KM programada'!$D$7="x",SUM('1.2. KM programada'!$N$16:$P$26),IF('1.2. KM programada'!$D$7="X",SUM('1.2. KM programada'!$N$16:$P$111),'1.2. KM programada'!$D$10)))</f>
        <v>2.086684976029218</v>
      </c>
      <c r="L14" s="259">
        <f>J14/SUM('1.3 Frota Total'!$C$19:$F$25)</f>
        <v>6448.005624857143</v>
      </c>
      <c r="M14" s="260">
        <f aca="true" t="shared" si="2" ref="M14:M15">J14/$J$45</f>
        <v>0.5368016625181424</v>
      </c>
      <c r="N14" s="261">
        <f aca="true" t="shared" si="3" ref="N14:N16">J14/$J$62</f>
        <v>0.22529361695129416</v>
      </c>
      <c r="O14" s="140"/>
      <c r="P14" s="140"/>
      <c r="Q14" s="140"/>
      <c r="R14" s="140"/>
      <c r="S14" s="140"/>
      <c r="T14" s="140"/>
      <c r="U14" s="140"/>
      <c r="V14" s="140"/>
      <c r="W14" s="140"/>
      <c r="X14" s="140"/>
      <c r="Y14" s="140"/>
      <c r="Z14" s="140"/>
    </row>
    <row r="15" spans="1:26" ht="12.75">
      <c r="A15" s="140"/>
      <c r="B15" s="258" t="s">
        <v>526</v>
      </c>
      <c r="C15" s="258"/>
      <c r="D15" s="258"/>
      <c r="E15" s="258"/>
      <c r="F15" s="258"/>
      <c r="G15" s="258"/>
      <c r="H15" s="258"/>
      <c r="I15" s="258"/>
      <c r="J15" s="259">
        <f>'2.2 Custo Fixo'!H20</f>
        <v>36108.8314992</v>
      </c>
      <c r="K15" s="259">
        <f>J15/(IF('1.2. KM programada'!$D$7="x",SUM('1.2. KM programada'!$N$16:$P$26),IF('1.2. KM programada'!$D$7="X",SUM('1.2. KM programada'!$N$16:$P$111),'1.2. KM programada'!$D$10)))</f>
        <v>0.8346739904116872</v>
      </c>
      <c r="L15" s="259">
        <f>J15/SUM('1.3 Frota Total'!$C$19:$F$25)</f>
        <v>2579.202249942857</v>
      </c>
      <c r="M15" s="260">
        <f t="shared" si="2"/>
        <v>0.21472066500725698</v>
      </c>
      <c r="N15" s="261">
        <f t="shared" si="3"/>
        <v>0.09011744678051767</v>
      </c>
      <c r="O15" s="140"/>
      <c r="P15" s="140"/>
      <c r="Q15" s="140"/>
      <c r="R15" s="140"/>
      <c r="S15" s="140"/>
      <c r="T15" s="140"/>
      <c r="U15" s="140"/>
      <c r="V15" s="140"/>
      <c r="W15" s="140"/>
      <c r="X15" s="140"/>
      <c r="Y15" s="140"/>
      <c r="Z15" s="140"/>
    </row>
    <row r="16" spans="1:26" ht="23.25" customHeight="1">
      <c r="A16" s="140"/>
      <c r="B16" s="270" t="s">
        <v>527</v>
      </c>
      <c r="C16" s="270"/>
      <c r="D16" s="270"/>
      <c r="E16" s="270"/>
      <c r="F16" s="270"/>
      <c r="G16" s="270"/>
      <c r="H16" s="270"/>
      <c r="I16" s="270"/>
      <c r="J16" s="271">
        <f>SUM(J14:J15)</f>
        <v>126380.9102472</v>
      </c>
      <c r="K16" s="271">
        <f>SUM(K14:K15)</f>
        <v>2.921358966440905</v>
      </c>
      <c r="L16" s="271">
        <f>SUM(L14:L15)</f>
        <v>9027.2078748</v>
      </c>
      <c r="M16" s="272">
        <f>SUM(M14:M15)</f>
        <v>0.7515223275253994</v>
      </c>
      <c r="N16" s="261">
        <f t="shared" si="3"/>
        <v>0.31541106373181177</v>
      </c>
      <c r="O16" s="140"/>
      <c r="P16" s="140"/>
      <c r="Q16" s="140"/>
      <c r="R16" s="140"/>
      <c r="S16" s="140"/>
      <c r="T16" s="140"/>
      <c r="U16" s="140"/>
      <c r="V16" s="140"/>
      <c r="W16" s="140"/>
      <c r="X16" s="140"/>
      <c r="Y16" s="140"/>
      <c r="Z16" s="140"/>
    </row>
    <row r="17" spans="1:26" ht="12.75">
      <c r="A17" s="140"/>
      <c r="B17" s="268" t="s">
        <v>528</v>
      </c>
      <c r="C17" s="269"/>
      <c r="D17" s="269"/>
      <c r="E17" s="269"/>
      <c r="F17" s="269"/>
      <c r="G17" s="269"/>
      <c r="H17" s="269"/>
      <c r="I17" s="269"/>
      <c r="J17" s="259"/>
      <c r="K17" s="259"/>
      <c r="L17" s="259"/>
      <c r="M17" s="260"/>
      <c r="N17" s="257"/>
      <c r="O17" s="140"/>
      <c r="P17" s="140"/>
      <c r="Q17" s="140"/>
      <c r="R17" s="140"/>
      <c r="S17" s="140"/>
      <c r="T17" s="140"/>
      <c r="U17" s="140"/>
      <c r="V17" s="140"/>
      <c r="W17" s="140"/>
      <c r="X17" s="140"/>
      <c r="Y17" s="140"/>
      <c r="Z17" s="140"/>
    </row>
    <row r="18" spans="1:26" ht="12.75">
      <c r="A18" s="140"/>
      <c r="B18" s="258" t="s">
        <v>529</v>
      </c>
      <c r="C18" s="258"/>
      <c r="D18" s="258"/>
      <c r="E18" s="258"/>
      <c r="F18" s="258"/>
      <c r="G18" s="258"/>
      <c r="H18" s="258"/>
      <c r="I18" s="258"/>
      <c r="J18" s="259">
        <f>'2.2 Custo Fixo'!H23</f>
        <v>8321.67</v>
      </c>
      <c r="K18" s="259">
        <f>J18/(IF('1.2. KM programada'!$D$7="x",SUM('1.2. KM programada'!$N$16:$P$26),IF('1.2. KM programada'!$D$7="X",SUM('1.2. KM programada'!$N$16:$P$111),'1.2. KM programada'!$D$10)))</f>
        <v>0.1923596310764892</v>
      </c>
      <c r="L18" s="259">
        <f>J18/SUM('1.3 Frota Total'!$C$19:$F$25)</f>
        <v>594.405</v>
      </c>
      <c r="M18" s="260">
        <f aca="true" t="shared" si="4" ref="M18:M22">J18/$J$45</f>
        <v>0.049484695078280995</v>
      </c>
      <c r="N18" s="261">
        <f aca="true" t="shared" si="5" ref="N18:N23">J18/$J$62</f>
        <v>0.020768538393900818</v>
      </c>
      <c r="O18" s="140"/>
      <c r="P18" s="140"/>
      <c r="Q18" s="140"/>
      <c r="R18" s="140"/>
      <c r="S18" s="140"/>
      <c r="T18" s="140"/>
      <c r="U18" s="140"/>
      <c r="V18" s="140"/>
      <c r="W18" s="140"/>
      <c r="X18" s="140"/>
      <c r="Y18" s="140"/>
      <c r="Z18" s="140"/>
    </row>
    <row r="19" spans="1:26" ht="12.75">
      <c r="A19" s="140"/>
      <c r="B19" s="258" t="s">
        <v>530</v>
      </c>
      <c r="C19" s="258"/>
      <c r="D19" s="258"/>
      <c r="E19" s="258"/>
      <c r="F19" s="258"/>
      <c r="G19" s="258"/>
      <c r="H19" s="258"/>
      <c r="I19" s="258"/>
      <c r="J19" s="259">
        <f>'2.2 Custo Fixo'!H24</f>
        <v>100.91666666666667</v>
      </c>
      <c r="K19" s="259">
        <f>J19/(IF('1.2. KM programada'!$D$7="x",SUM('1.2. KM programada'!$N$16:$P$26),IF('1.2. KM programada'!$D$7="X",SUM('1.2. KM programada'!$N$16:$P$111),'1.2. KM programada'!$D$10)))</f>
        <v>0.002332740035289676</v>
      </c>
      <c r="L19" s="259">
        <f>J19/SUM('1.3 Frota Total'!$C$19:$F$25)</f>
        <v>7.208333333333334</v>
      </c>
      <c r="M19" s="260">
        <f t="shared" si="4"/>
        <v>0.0006000995567375929</v>
      </c>
      <c r="N19" s="261">
        <f t="shared" si="5"/>
        <v>0.0002518595025098517</v>
      </c>
      <c r="O19" s="140"/>
      <c r="P19" s="140"/>
      <c r="Q19" s="140"/>
      <c r="R19" s="140"/>
      <c r="S19" s="140"/>
      <c r="T19" s="140"/>
      <c r="U19" s="140"/>
      <c r="V19" s="140"/>
      <c r="W19" s="140"/>
      <c r="X19" s="140"/>
      <c r="Y19" s="140"/>
      <c r="Z19" s="140"/>
    </row>
    <row r="20" spans="1:26" ht="12.75">
      <c r="A20" s="140"/>
      <c r="B20" s="258" t="s">
        <v>531</v>
      </c>
      <c r="C20" s="258"/>
      <c r="D20" s="258"/>
      <c r="E20" s="258"/>
      <c r="F20" s="258"/>
      <c r="G20" s="258"/>
      <c r="H20" s="258"/>
      <c r="I20" s="258"/>
      <c r="J20" s="259">
        <f>'2.2 Custo Fixo'!H26</f>
        <v>0</v>
      </c>
      <c r="K20" s="259">
        <f>J20/(IF('1.2. KM programada'!$D$7="x",SUM('1.2. KM programada'!$N$16:$P$26),IF('1.2. KM programada'!$D$7="X",SUM('1.2. KM programada'!$N$16:$P$111),'1.2. KM programada'!$D$10)))</f>
        <v>0</v>
      </c>
      <c r="L20" s="259">
        <f>J20/SUM('1.3 Frota Total'!$C$19:$F$25)</f>
        <v>0</v>
      </c>
      <c r="M20" s="260">
        <f t="shared" si="4"/>
        <v>0</v>
      </c>
      <c r="N20" s="261">
        <f t="shared" si="5"/>
        <v>0</v>
      </c>
      <c r="O20" s="140"/>
      <c r="P20" s="140"/>
      <c r="Q20" s="140"/>
      <c r="R20" s="140"/>
      <c r="S20" s="140"/>
      <c r="T20" s="140"/>
      <c r="U20" s="140"/>
      <c r="V20" s="140"/>
      <c r="W20" s="140"/>
      <c r="X20" s="140"/>
      <c r="Y20" s="140"/>
      <c r="Z20" s="140"/>
    </row>
    <row r="21" spans="1:26" ht="12.75">
      <c r="A21" s="140"/>
      <c r="B21" s="258" t="s">
        <v>532</v>
      </c>
      <c r="C21" s="258"/>
      <c r="D21" s="258"/>
      <c r="E21" s="258"/>
      <c r="F21" s="258"/>
      <c r="G21" s="258"/>
      <c r="H21" s="258"/>
      <c r="I21" s="258"/>
      <c r="J21" s="259">
        <f>'2.2 Custo Fixo'!H25</f>
        <v>3863.26</v>
      </c>
      <c r="K21" s="259">
        <f>J21/(IF('1.2. KM programada'!$D$7="x",SUM('1.2. KM programada'!$N$16:$P$26),IF('1.2. KM programada'!$D$7="X",SUM('1.2. KM programada'!$N$16:$P$111),'1.2. KM programada'!$D$10)))</f>
        <v>0.08930121818728186</v>
      </c>
      <c r="L21" s="259">
        <f>J21/SUM('1.3 Frota Total'!$C$19:$F$25)</f>
        <v>275.94714285714286</v>
      </c>
      <c r="M21" s="260">
        <f t="shared" si="4"/>
        <v>0.022972821934553984</v>
      </c>
      <c r="N21" s="261">
        <f t="shared" si="5"/>
        <v>0.009641606028071441</v>
      </c>
      <c r="O21" s="140"/>
      <c r="P21" s="140"/>
      <c r="Q21" s="140"/>
      <c r="R21" s="140"/>
      <c r="S21" s="140"/>
      <c r="T21" s="140"/>
      <c r="U21" s="140"/>
      <c r="V21" s="140"/>
      <c r="W21" s="140"/>
      <c r="X21" s="140"/>
      <c r="Y21" s="140"/>
      <c r="Z21" s="140"/>
    </row>
    <row r="22" spans="1:26" ht="12.75">
      <c r="A22" s="140"/>
      <c r="B22" s="258" t="s">
        <v>533</v>
      </c>
      <c r="C22" s="258"/>
      <c r="D22" s="258"/>
      <c r="E22" s="258"/>
      <c r="F22" s="258"/>
      <c r="G22" s="258"/>
      <c r="H22" s="258"/>
      <c r="I22" s="258"/>
      <c r="J22" s="259">
        <f>'2.2 Custo Fixo'!H27</f>
        <v>0</v>
      </c>
      <c r="K22" s="259"/>
      <c r="L22" s="273">
        <f>J22/SUM('1.3 Frota Total'!$C$19:$F$25)</f>
        <v>0</v>
      </c>
      <c r="M22" s="260">
        <f t="shared" si="4"/>
        <v>0</v>
      </c>
      <c r="N22" s="261">
        <f t="shared" si="5"/>
        <v>0</v>
      </c>
      <c r="O22" s="140"/>
      <c r="P22" s="140"/>
      <c r="Q22" s="140"/>
      <c r="R22" s="140"/>
      <c r="S22" s="140"/>
      <c r="T22" s="140"/>
      <c r="U22" s="140"/>
      <c r="V22" s="140"/>
      <c r="W22" s="140"/>
      <c r="X22" s="140"/>
      <c r="Y22" s="140"/>
      <c r="Z22" s="140"/>
    </row>
    <row r="23" spans="1:26" ht="24" customHeight="1">
      <c r="A23" s="140"/>
      <c r="B23" s="270" t="s">
        <v>527</v>
      </c>
      <c r="C23" s="270"/>
      <c r="D23" s="270"/>
      <c r="E23" s="270"/>
      <c r="F23" s="270"/>
      <c r="G23" s="270"/>
      <c r="H23" s="270"/>
      <c r="I23" s="270"/>
      <c r="J23" s="274">
        <f>SUM(J18:J22)</f>
        <v>12285.846666666666</v>
      </c>
      <c r="K23" s="274">
        <f>SUM(K18:K22)</f>
        <v>0.28399358929906077</v>
      </c>
      <c r="L23" s="274">
        <f>SUM(L18:L22)</f>
        <v>877.5604761904762</v>
      </c>
      <c r="M23" s="275">
        <f>SUM(M18:M22)</f>
        <v>0.07305761656957258</v>
      </c>
      <c r="N23" s="261">
        <f t="shared" si="5"/>
        <v>0.03066200392448211</v>
      </c>
      <c r="O23" s="140"/>
      <c r="P23" s="140"/>
      <c r="Q23" s="140"/>
      <c r="R23" s="140"/>
      <c r="S23" s="140"/>
      <c r="T23" s="140"/>
      <c r="U23" s="140"/>
      <c r="V23" s="140"/>
      <c r="W23" s="140"/>
      <c r="X23" s="140"/>
      <c r="Y23" s="140"/>
      <c r="Z23" s="140"/>
    </row>
    <row r="24" spans="1:26" ht="12.75">
      <c r="A24" s="140"/>
      <c r="B24" s="268" t="s">
        <v>534</v>
      </c>
      <c r="C24" s="269"/>
      <c r="D24" s="269"/>
      <c r="E24" s="269"/>
      <c r="F24" s="269"/>
      <c r="G24" s="269"/>
      <c r="H24" s="269"/>
      <c r="I24" s="269"/>
      <c r="J24" s="259"/>
      <c r="K24" s="259"/>
      <c r="L24" s="259"/>
      <c r="M24" s="260"/>
      <c r="N24" s="257"/>
      <c r="O24" s="140"/>
      <c r="P24" s="140"/>
      <c r="Q24" s="140"/>
      <c r="R24" s="140"/>
      <c r="S24" s="140"/>
      <c r="T24" s="140"/>
      <c r="U24" s="140"/>
      <c r="V24" s="140"/>
      <c r="W24" s="140"/>
      <c r="X24" s="140"/>
      <c r="Y24" s="140"/>
      <c r="Z24" s="140"/>
    </row>
    <row r="25" spans="1:26" ht="12.75">
      <c r="A25" s="140"/>
      <c r="B25" s="258" t="s">
        <v>535</v>
      </c>
      <c r="C25" s="258"/>
      <c r="D25" s="258"/>
      <c r="E25" s="258"/>
      <c r="F25" s="258"/>
      <c r="G25" s="258"/>
      <c r="H25" s="258"/>
      <c r="I25" s="258"/>
      <c r="J25" s="259">
        <f>'2.2 Custo Fixo'!H4</f>
        <v>19632.050000000003</v>
      </c>
      <c r="K25" s="259">
        <f>J25/(IF('1.2. KM programada'!$D$7="x",SUM('1.2. KM programada'!$N$16:$P$26),IF('1.2. KM programada'!$D$7="X",SUM('1.2. KM programada'!$N$16:$P$111),'1.2. KM programada'!$D$10)))</f>
        <v>0.4538048126488062</v>
      </c>
      <c r="L25" s="259">
        <f>J25/SUM('1.3 Frota Total'!$C$19:$F$25)</f>
        <v>1402.2892857142858</v>
      </c>
      <c r="M25" s="260">
        <f aca="true" t="shared" si="6" ref="M25:M29">J25/$J$45</f>
        <v>0.11674171266243033</v>
      </c>
      <c r="N25" s="261">
        <f aca="true" t="shared" si="7" ref="N25:N29">J25/$J$62</f>
        <v>0.04899605297686409</v>
      </c>
      <c r="O25" s="140"/>
      <c r="P25" s="140"/>
      <c r="Q25" s="140"/>
      <c r="R25" s="140"/>
      <c r="S25" s="140"/>
      <c r="T25" s="140"/>
      <c r="U25" s="140"/>
      <c r="V25" s="140"/>
      <c r="W25" s="140"/>
      <c r="X25" s="140"/>
      <c r="Y25" s="140"/>
      <c r="Z25" s="140"/>
    </row>
    <row r="26" spans="1:26" ht="12.75">
      <c r="A26" s="140"/>
      <c r="B26" s="258" t="s">
        <v>536</v>
      </c>
      <c r="C26" s="258"/>
      <c r="D26" s="258"/>
      <c r="E26" s="258"/>
      <c r="F26" s="258"/>
      <c r="G26" s="258"/>
      <c r="H26" s="258"/>
      <c r="I26" s="258"/>
      <c r="J26" s="259">
        <f>'2.2 Custo Fixo'!H5</f>
        <v>764.652</v>
      </c>
      <c r="K26" s="259">
        <f>J26/(IF('1.2. KM programada'!$D$7="x",SUM('1.2. KM programada'!$N$16:$P$26),IF('1.2. KM programada'!$D$7="X",SUM('1.2. KM programada'!$N$16:$P$111),'1.2. KM programada'!$D$10)))</f>
        <v>0.01767531957190079</v>
      </c>
      <c r="L26" s="259">
        <f>J26/SUM('1.3 Frota Total'!$C$19:$F$25)</f>
        <v>54.618</v>
      </c>
      <c r="M26" s="260">
        <f t="shared" si="6"/>
        <v>0.004546992498019956</v>
      </c>
      <c r="N26" s="261">
        <f t="shared" si="7"/>
        <v>0.0019083554647051672</v>
      </c>
      <c r="O26" s="140"/>
      <c r="P26" s="140"/>
      <c r="Q26" s="140"/>
      <c r="R26" s="140"/>
      <c r="S26" s="140"/>
      <c r="T26" s="140"/>
      <c r="U26" s="140"/>
      <c r="V26" s="140"/>
      <c r="W26" s="140"/>
      <c r="X26" s="140"/>
      <c r="Y26" s="140"/>
      <c r="Z26" s="140"/>
    </row>
    <row r="27" spans="1:26" ht="12.75">
      <c r="A27" s="140"/>
      <c r="B27" s="258" t="s">
        <v>537</v>
      </c>
      <c r="C27" s="258"/>
      <c r="D27" s="258"/>
      <c r="E27" s="258"/>
      <c r="F27" s="258"/>
      <c r="G27" s="258"/>
      <c r="H27" s="258"/>
      <c r="I27" s="258"/>
      <c r="J27" s="259">
        <f>'2.2 Custo Fixo'!H6</f>
        <v>0</v>
      </c>
      <c r="K27" s="259">
        <f>J27/(IF('1.2. KM programada'!$D$7="x",SUM('1.2. KM programada'!$N$16:$P$26),IF('1.2. KM programada'!$D$7="X",SUM('1.2. KM programada'!$N$16:$P$111),'1.2. KM programada'!$D$10)))</f>
        <v>0</v>
      </c>
      <c r="L27" s="259">
        <f>J27/SUM('1.3 Frota Total'!$C$19:$F$25)</f>
        <v>0</v>
      </c>
      <c r="M27" s="260">
        <f t="shared" si="6"/>
        <v>0</v>
      </c>
      <c r="N27" s="261">
        <f t="shared" si="7"/>
        <v>0</v>
      </c>
      <c r="O27" s="140"/>
      <c r="P27" s="140"/>
      <c r="Q27" s="140"/>
      <c r="R27" s="140"/>
      <c r="S27" s="140"/>
      <c r="T27" s="140"/>
      <c r="U27" s="140"/>
      <c r="V27" s="140"/>
      <c r="W27" s="140"/>
      <c r="X27" s="140"/>
      <c r="Y27" s="140"/>
      <c r="Z27" s="140"/>
    </row>
    <row r="28" spans="1:26" ht="12.75">
      <c r="A28" s="140"/>
      <c r="B28" s="258" t="s">
        <v>538</v>
      </c>
      <c r="C28" s="258"/>
      <c r="D28" s="258"/>
      <c r="E28" s="258"/>
      <c r="F28" s="258"/>
      <c r="G28" s="258"/>
      <c r="H28" s="258"/>
      <c r="I28" s="258"/>
      <c r="J28" s="259">
        <f>'2.2 Custo Fixo'!H7</f>
        <v>0</v>
      </c>
      <c r="K28" s="259">
        <f>J28/(IF('1.2. KM programada'!$D$7="x",SUM('1.2. KM programada'!$N$16:$P$26),IF('1.2. KM programada'!$D$7="X",SUM('1.2. KM programada'!$N$16:$P$111),'1.2. KM programada'!$D$10)))</f>
        <v>0</v>
      </c>
      <c r="L28" s="259">
        <f>J28/SUM('1.3 Frota Total'!$C$19:$F$25)</f>
        <v>0</v>
      </c>
      <c r="M28" s="260">
        <f t="shared" si="6"/>
        <v>0</v>
      </c>
      <c r="N28" s="261">
        <f t="shared" si="7"/>
        <v>0</v>
      </c>
      <c r="O28" s="140"/>
      <c r="P28" s="140"/>
      <c r="Q28" s="140"/>
      <c r="R28" s="140"/>
      <c r="S28" s="140"/>
      <c r="T28" s="140"/>
      <c r="U28" s="140"/>
      <c r="V28" s="140"/>
      <c r="W28" s="140"/>
      <c r="X28" s="140"/>
      <c r="Y28" s="140"/>
      <c r="Z28" s="140"/>
    </row>
    <row r="29" spans="1:26" ht="12.75">
      <c r="A29" s="140"/>
      <c r="B29" s="258" t="s">
        <v>539</v>
      </c>
      <c r="C29" s="258"/>
      <c r="D29" s="258"/>
      <c r="E29" s="258"/>
      <c r="F29" s="258"/>
      <c r="G29" s="258"/>
      <c r="H29" s="258"/>
      <c r="I29" s="258"/>
      <c r="J29" s="259">
        <f>'2.2 Custo Fixo'!H8</f>
        <v>0</v>
      </c>
      <c r="K29" s="259">
        <f>J29/(IF('1.2. KM programada'!$D$7="x",SUM('1.2. KM programada'!$N$16:$P$26),IF('1.2. KM programada'!$D$7="X",SUM('1.2. KM programada'!$N$16:$P$111),'1.2. KM programada'!$D$10)))</f>
        <v>0</v>
      </c>
      <c r="L29" s="259">
        <f>J29/SUM('1.3 Frota Total'!$C$19:$F$25)</f>
        <v>0</v>
      </c>
      <c r="M29" s="260">
        <f t="shared" si="6"/>
        <v>0</v>
      </c>
      <c r="N29" s="261">
        <f t="shared" si="7"/>
        <v>0</v>
      </c>
      <c r="O29" s="140"/>
      <c r="P29" s="140"/>
      <c r="Q29" s="140"/>
      <c r="R29" s="140"/>
      <c r="S29" s="140"/>
      <c r="T29" s="140"/>
      <c r="U29" s="140"/>
      <c r="V29" s="140"/>
      <c r="W29" s="140"/>
      <c r="X29" s="140"/>
      <c r="Y29" s="140"/>
      <c r="Z29" s="140"/>
    </row>
    <row r="30" spans="1:26" ht="12" customHeight="1">
      <c r="A30" s="140"/>
      <c r="B30" s="258"/>
      <c r="C30" s="276"/>
      <c r="D30" s="276"/>
      <c r="E30" s="276"/>
      <c r="F30" s="276"/>
      <c r="G30" s="276"/>
      <c r="H30" s="276"/>
      <c r="I30" s="276"/>
      <c r="J30" s="259"/>
      <c r="K30" s="259"/>
      <c r="L30" s="259"/>
      <c r="M30" s="260"/>
      <c r="N30" s="257"/>
      <c r="O30" s="140"/>
      <c r="P30" s="140"/>
      <c r="Q30" s="140"/>
      <c r="R30" s="140"/>
      <c r="S30" s="140"/>
      <c r="T30" s="140"/>
      <c r="U30" s="140"/>
      <c r="V30" s="140"/>
      <c r="W30" s="140"/>
      <c r="X30" s="140"/>
      <c r="Y30" s="140"/>
      <c r="Z30" s="140"/>
    </row>
    <row r="31" spans="1:26" ht="12.75">
      <c r="A31" s="140"/>
      <c r="B31" s="270" t="s">
        <v>527</v>
      </c>
      <c r="C31" s="270"/>
      <c r="D31" s="270"/>
      <c r="E31" s="270"/>
      <c r="F31" s="270"/>
      <c r="G31" s="270"/>
      <c r="H31" s="270"/>
      <c r="I31" s="270"/>
      <c r="J31" s="277">
        <f>SUM(J25:J29)</f>
        <v>20396.702000000005</v>
      </c>
      <c r="K31" s="277">
        <f>SUM(K25:K29)</f>
        <v>0.47148013222070695</v>
      </c>
      <c r="L31" s="277">
        <f>SUM(L25:L29)</f>
        <v>1456.9072857142858</v>
      </c>
      <c r="M31" s="278">
        <f>SUM(M25:M29)</f>
        <v>0.12128870516045029</v>
      </c>
      <c r="N31" s="261">
        <f>J31/$J$62</f>
        <v>0.05090440844156926</v>
      </c>
      <c r="O31" s="140"/>
      <c r="P31" s="140"/>
      <c r="Q31" s="140"/>
      <c r="R31" s="140"/>
      <c r="S31" s="140"/>
      <c r="T31" s="140"/>
      <c r="U31" s="140"/>
      <c r="V31" s="140"/>
      <c r="W31" s="140"/>
      <c r="X31" s="140"/>
      <c r="Y31" s="140"/>
      <c r="Z31" s="140"/>
    </row>
    <row r="32" spans="1:26" ht="12.75">
      <c r="A32" s="140"/>
      <c r="B32" s="268" t="s">
        <v>540</v>
      </c>
      <c r="C32" s="269"/>
      <c r="D32" s="269"/>
      <c r="E32" s="269"/>
      <c r="F32" s="269"/>
      <c r="G32" s="269"/>
      <c r="H32" s="269"/>
      <c r="I32" s="269"/>
      <c r="J32" s="259"/>
      <c r="K32" s="259"/>
      <c r="L32" s="259"/>
      <c r="M32" s="260"/>
      <c r="N32" s="257"/>
      <c r="O32" s="140"/>
      <c r="P32" s="140"/>
      <c r="Q32" s="140"/>
      <c r="R32" s="140"/>
      <c r="S32" s="140"/>
      <c r="T32" s="140"/>
      <c r="U32" s="140"/>
      <c r="V32" s="140"/>
      <c r="W32" s="140"/>
      <c r="X32" s="140"/>
      <c r="Y32" s="140"/>
      <c r="Z32" s="140"/>
    </row>
    <row r="33" spans="1:26" ht="12.75">
      <c r="A33" s="140"/>
      <c r="B33" s="258" t="s">
        <v>541</v>
      </c>
      <c r="C33" s="258"/>
      <c r="D33" s="258"/>
      <c r="E33" s="258"/>
      <c r="F33" s="258"/>
      <c r="G33" s="258"/>
      <c r="H33" s="258"/>
      <c r="I33" s="258"/>
      <c r="J33" s="259">
        <f>'2.2 Custo Fixo'!H11</f>
        <v>882.4836666666669</v>
      </c>
      <c r="K33" s="259">
        <f>J33/(IF('1.2. KM programada'!$D$7="x",SUM('1.2. KM programada'!$N$16:$P$26),IF('1.2. KM programada'!$D$7="X",SUM('1.2. KM programada'!$N$16:$P$111),'1.2. KM programada'!$D$10)))</f>
        <v>0.02039905842829955</v>
      </c>
      <c r="L33" s="259">
        <f>J33/SUM('1.3 Frota Total'!$C$19:$F$25)</f>
        <v>63.034547619047636</v>
      </c>
      <c r="M33" s="260">
        <f aca="true" t="shared" si="8" ref="M33:M38">J33/$J$45</f>
        <v>0.005247676867331122</v>
      </c>
      <c r="N33" s="261">
        <f aca="true" t="shared" si="9" ref="N33:N39">J33/$J$62</f>
        <v>0.0022024300306497423</v>
      </c>
      <c r="O33" s="140"/>
      <c r="P33" s="140"/>
      <c r="Q33" s="140"/>
      <c r="R33" s="140"/>
      <c r="S33" s="140"/>
      <c r="T33" s="140"/>
      <c r="U33" s="140"/>
      <c r="V33" s="140"/>
      <c r="W33" s="140"/>
      <c r="X33" s="140"/>
      <c r="Y33" s="140"/>
      <c r="Z33" s="140"/>
    </row>
    <row r="34" spans="1:26" ht="12.75">
      <c r="A34" s="140"/>
      <c r="B34" s="258" t="s">
        <v>542</v>
      </c>
      <c r="C34" s="258"/>
      <c r="D34" s="258"/>
      <c r="E34" s="258"/>
      <c r="F34" s="258"/>
      <c r="G34" s="258"/>
      <c r="H34" s="258"/>
      <c r="I34" s="258"/>
      <c r="J34" s="259">
        <f>'2.2 Custo Fixo'!H12</f>
        <v>2362.262380266666</v>
      </c>
      <c r="K34" s="259">
        <f>J34/(IF('1.2. KM programada'!$D$7="x",SUM('1.2. KM programada'!$N$16:$P$26),IF('1.2. KM programada'!$D$7="X",SUM('1.2. KM programada'!$N$16:$P$111),'1.2. KM programada'!$D$10)))</f>
        <v>0.054604895408489534</v>
      </c>
      <c r="L34" s="259">
        <f>J34/SUM('1.3 Frota Total'!$C$19:$F$25)</f>
        <v>168.7330271619047</v>
      </c>
      <c r="M34" s="260">
        <f t="shared" si="8"/>
        <v>0.014047160435632538</v>
      </c>
      <c r="N34" s="261">
        <f t="shared" si="9"/>
        <v>0.005895539830471021</v>
      </c>
      <c r="O34" s="140"/>
      <c r="P34" s="279"/>
      <c r="Q34" s="140"/>
      <c r="R34" s="140"/>
      <c r="S34" s="140"/>
      <c r="T34" s="140"/>
      <c r="U34" s="140"/>
      <c r="V34" s="140"/>
      <c r="W34" s="140"/>
      <c r="X34" s="140"/>
      <c r="Y34" s="140"/>
      <c r="Z34" s="140"/>
    </row>
    <row r="35" spans="1:26" ht="12.75">
      <c r="A35" s="140"/>
      <c r="B35" s="258" t="s">
        <v>543</v>
      </c>
      <c r="C35" s="258"/>
      <c r="D35" s="258"/>
      <c r="E35" s="258"/>
      <c r="F35" s="258"/>
      <c r="G35" s="258"/>
      <c r="H35" s="258"/>
      <c r="I35" s="258"/>
      <c r="J35" s="259">
        <f>'2.2 Custo Fixo'!H13</f>
        <v>0</v>
      </c>
      <c r="K35" s="259">
        <f>J35/(IF('1.2. KM programada'!$D$7="x",SUM('1.2. KM programada'!$N$16:$P$26),IF('1.2. KM programada'!$D$7="X",SUM('1.2. KM programada'!$N$16:$P$111),'1.2. KM programada'!$D$10)))</f>
        <v>0</v>
      </c>
      <c r="L35" s="259">
        <f>J35/SUM('1.3 Frota Total'!$C$19:$F$25)</f>
        <v>0</v>
      </c>
      <c r="M35" s="260">
        <f t="shared" si="8"/>
        <v>0</v>
      </c>
      <c r="N35" s="261">
        <f t="shared" si="9"/>
        <v>0</v>
      </c>
      <c r="O35" s="140"/>
      <c r="P35" s="140"/>
      <c r="Q35" s="140"/>
      <c r="R35" s="140"/>
      <c r="S35" s="140"/>
      <c r="T35" s="140"/>
      <c r="U35" s="140"/>
      <c r="V35" s="140"/>
      <c r="W35" s="140"/>
      <c r="X35" s="140"/>
      <c r="Y35" s="140"/>
      <c r="Z35" s="140"/>
    </row>
    <row r="36" spans="1:26" ht="12.75">
      <c r="A36" s="140"/>
      <c r="B36" s="258" t="s">
        <v>544</v>
      </c>
      <c r="C36" s="258"/>
      <c r="D36" s="258"/>
      <c r="E36" s="258"/>
      <c r="F36" s="258"/>
      <c r="G36" s="258"/>
      <c r="H36" s="258"/>
      <c r="I36" s="258"/>
      <c r="J36" s="259">
        <f>'2.2 Custo Fixo'!H14</f>
        <v>0</v>
      </c>
      <c r="K36" s="259">
        <f>J36/(IF('1.2. KM programada'!$D$7="x",SUM('1.2. KM programada'!$N$16:$P$26),IF('1.2. KM programada'!$D$7="X",SUM('1.2. KM programada'!$N$16:$P$111),'1.2. KM programada'!$D$10)))</f>
        <v>0</v>
      </c>
      <c r="L36" s="259">
        <f>J36/SUM('1.3 Frota Total'!$C$19:$F$25)</f>
        <v>0</v>
      </c>
      <c r="M36" s="260">
        <f t="shared" si="8"/>
        <v>0</v>
      </c>
      <c r="N36" s="261">
        <f t="shared" si="9"/>
        <v>0</v>
      </c>
      <c r="O36" s="140"/>
      <c r="P36" s="140"/>
      <c r="Q36" s="140"/>
      <c r="R36" s="140"/>
      <c r="S36" s="140"/>
      <c r="T36" s="140"/>
      <c r="U36" s="140"/>
      <c r="V36" s="140"/>
      <c r="W36" s="140"/>
      <c r="X36" s="140"/>
      <c r="Y36" s="140"/>
      <c r="Z36" s="140"/>
    </row>
    <row r="37" spans="1:26" ht="12.75">
      <c r="A37" s="140"/>
      <c r="B37" s="258" t="s">
        <v>545</v>
      </c>
      <c r="C37" s="258"/>
      <c r="D37" s="258"/>
      <c r="E37" s="258"/>
      <c r="F37" s="258"/>
      <c r="G37" s="258"/>
      <c r="H37" s="258"/>
      <c r="I37" s="258"/>
      <c r="J37" s="259">
        <f>'2.2 Custo Fixo'!H15</f>
        <v>67.33596333333332</v>
      </c>
      <c r="K37" s="259">
        <f>J37/(IF('1.2. KM programada'!$D$7="x",SUM('1.2. KM programada'!$N$16:$P$26),IF('1.2. KM programada'!$D$7="X",SUM('1.2. KM programada'!$N$16:$P$111),'1.2. KM programada'!$D$10)))</f>
        <v>0.0015565050122126932</v>
      </c>
      <c r="L37" s="259">
        <f>J37/SUM('1.3 Frota Total'!$C$19:$F$25)</f>
        <v>4.809711666666666</v>
      </c>
      <c r="M37" s="260">
        <f t="shared" si="8"/>
        <v>0.0004004123707563877</v>
      </c>
      <c r="N37" s="261">
        <f t="shared" si="9"/>
        <v>0.0001680515497224272</v>
      </c>
      <c r="O37" s="140"/>
      <c r="P37" s="140"/>
      <c r="Q37" s="140"/>
      <c r="R37" s="140"/>
      <c r="S37" s="140"/>
      <c r="T37" s="140"/>
      <c r="U37" s="140"/>
      <c r="V37" s="140"/>
      <c r="W37" s="140"/>
      <c r="X37" s="140"/>
      <c r="Y37" s="140"/>
      <c r="Z37" s="140"/>
    </row>
    <row r="38" spans="1:26" ht="12.75">
      <c r="A38" s="140"/>
      <c r="B38" s="258" t="s">
        <v>546</v>
      </c>
      <c r="C38" s="258"/>
      <c r="D38" s="258"/>
      <c r="E38" s="258"/>
      <c r="F38" s="258"/>
      <c r="G38" s="258"/>
      <c r="H38" s="258"/>
      <c r="I38" s="258"/>
      <c r="J38" s="259">
        <f>'2.2 Custo Fixo'!H16</f>
        <v>0</v>
      </c>
      <c r="K38" s="259">
        <f>J38/(IF('1.2. KM programada'!$D$7="x",SUM('1.2. KM programada'!$N$16:$P$26),IF('1.2. KM programada'!$D$7="X",SUM('1.2. KM programada'!$N$16:$P$111),'1.2. KM programada'!$D$10)))</f>
        <v>0</v>
      </c>
      <c r="L38" s="259">
        <f>J38/SUM('1.3 Frota Total'!$C$19:$F$25)</f>
        <v>0</v>
      </c>
      <c r="M38" s="260">
        <f t="shared" si="8"/>
        <v>0</v>
      </c>
      <c r="N38" s="261">
        <f t="shared" si="9"/>
        <v>0</v>
      </c>
      <c r="O38" s="140"/>
      <c r="P38" s="140"/>
      <c r="Q38" s="140"/>
      <c r="R38" s="140"/>
      <c r="S38" s="140"/>
      <c r="T38" s="140"/>
      <c r="U38" s="140"/>
      <c r="V38" s="140"/>
      <c r="W38" s="140"/>
      <c r="X38" s="140"/>
      <c r="Y38" s="140"/>
      <c r="Z38" s="140"/>
    </row>
    <row r="39" spans="1:26" ht="12.75">
      <c r="A39" s="140"/>
      <c r="B39" s="270" t="s">
        <v>527</v>
      </c>
      <c r="C39" s="270"/>
      <c r="D39" s="270"/>
      <c r="E39" s="270"/>
      <c r="F39" s="270"/>
      <c r="G39" s="270"/>
      <c r="H39" s="270"/>
      <c r="I39" s="270"/>
      <c r="J39" s="271">
        <f>SUM(J33:J38)</f>
        <v>3312.0820102666657</v>
      </c>
      <c r="K39" s="271">
        <f>SUM(K33:K38)</f>
        <v>0.07656045884900178</v>
      </c>
      <c r="L39" s="271">
        <f>SUM(L33:L38)</f>
        <v>236.577286447619</v>
      </c>
      <c r="M39" s="272">
        <f>SUM(M33:M38)</f>
        <v>0.019695249673720047</v>
      </c>
      <c r="N39" s="261">
        <f t="shared" si="9"/>
        <v>0.00826602141084319</v>
      </c>
      <c r="O39" s="140"/>
      <c r="P39" s="140"/>
      <c r="Q39" s="140"/>
      <c r="R39" s="140"/>
      <c r="S39" s="140"/>
      <c r="T39" s="140"/>
      <c r="U39" s="140"/>
      <c r="V39" s="140"/>
      <c r="W39" s="140"/>
      <c r="X39" s="140"/>
      <c r="Y39" s="140"/>
      <c r="Z39" s="140"/>
    </row>
    <row r="40" spans="1:26" ht="12.75">
      <c r="A40" s="140"/>
      <c r="B40" s="280" t="s">
        <v>547</v>
      </c>
      <c r="C40" s="281"/>
      <c r="D40" s="281"/>
      <c r="E40" s="281"/>
      <c r="F40" s="281"/>
      <c r="G40" s="281"/>
      <c r="H40" s="281"/>
      <c r="I40" s="281"/>
      <c r="J40" s="282"/>
      <c r="K40" s="282"/>
      <c r="L40" s="282"/>
      <c r="M40" s="282"/>
      <c r="N40" s="257"/>
      <c r="O40" s="140"/>
      <c r="P40" s="140"/>
      <c r="Q40" s="140"/>
      <c r="R40" s="140"/>
      <c r="S40" s="140"/>
      <c r="T40" s="140"/>
      <c r="U40" s="140"/>
      <c r="V40" s="140"/>
      <c r="W40" s="140"/>
      <c r="X40" s="140"/>
      <c r="Y40" s="140"/>
      <c r="Z40" s="140"/>
    </row>
    <row r="41" spans="1:26" ht="12.75">
      <c r="A41" s="140"/>
      <c r="B41" s="258" t="s">
        <v>548</v>
      </c>
      <c r="C41" s="258"/>
      <c r="D41" s="258"/>
      <c r="E41" s="258"/>
      <c r="F41" s="258"/>
      <c r="G41" s="258"/>
      <c r="H41" s="258"/>
      <c r="I41" s="258"/>
      <c r="J41" s="283">
        <f>'2.2 Custo Fixo'!H30</f>
        <v>5791</v>
      </c>
      <c r="K41" s="283">
        <f>J41/(IF('1.2. KM programada'!$D$7="x",SUM('1.2. KM programada'!$N$16:$P$26),IF('1.2. KM programada'!$D$7="X",SUM('1.2. KM programada'!$N$16:$P$111),'1.2. KM programada'!$D$10)))</f>
        <v>0.13386190795404637</v>
      </c>
      <c r="L41" s="283">
        <f>J41/SUM('1.3 Frota Total'!$C$19:$F$25)</f>
        <v>413.64285714285717</v>
      </c>
      <c r="M41" s="284">
        <f aca="true" t="shared" si="10" ref="M41:M43">J41/$J$45</f>
        <v>0.0344361010708578</v>
      </c>
      <c r="N41" s="261">
        <f aca="true" t="shared" si="11" ref="N41:N45">J41/$J$62</f>
        <v>0.014452700700590102</v>
      </c>
      <c r="O41" s="140"/>
      <c r="P41" s="140"/>
      <c r="Q41" s="140"/>
      <c r="R41" s="140"/>
      <c r="S41" s="140"/>
      <c r="T41" s="140"/>
      <c r="U41" s="140"/>
      <c r="V41" s="140"/>
      <c r="W41" s="140"/>
      <c r="X41" s="140"/>
      <c r="Y41" s="140"/>
      <c r="Z41" s="140"/>
    </row>
    <row r="42" spans="1:26" ht="13.5" customHeight="1">
      <c r="A42" s="140"/>
      <c r="B42" s="258" t="s">
        <v>549</v>
      </c>
      <c r="C42" s="258"/>
      <c r="D42" s="258"/>
      <c r="E42" s="258"/>
      <c r="F42" s="258"/>
      <c r="G42" s="258"/>
      <c r="H42" s="258"/>
      <c r="I42" s="258"/>
      <c r="J42" s="283">
        <f>'2.2 Custo Fixo'!H31</f>
        <v>0</v>
      </c>
      <c r="K42" s="283">
        <f>J42/(IF('1.2. KM programada'!$D$7="x",SUM('1.2. KM programada'!$N$16:$P$26),IF('1.2. KM programada'!$D$7="X",SUM('1.2. KM programada'!$N$16:$P$111),'1.2. KM programada'!$D$10)))</f>
        <v>0</v>
      </c>
      <c r="L42" s="283">
        <f>J42/SUM('1.3 Frota Total'!$C$19:$F$25)</f>
        <v>0</v>
      </c>
      <c r="M42" s="284">
        <f t="shared" si="10"/>
        <v>0</v>
      </c>
      <c r="N42" s="261">
        <f t="shared" si="11"/>
        <v>0</v>
      </c>
      <c r="O42" s="140"/>
      <c r="P42" s="140"/>
      <c r="Q42" s="140"/>
      <c r="R42" s="140"/>
      <c r="S42" s="140"/>
      <c r="T42" s="140"/>
      <c r="U42" s="140"/>
      <c r="V42" s="140"/>
      <c r="W42" s="140"/>
      <c r="X42" s="140"/>
      <c r="Y42" s="140"/>
      <c r="Z42" s="140"/>
    </row>
    <row r="43" spans="1:26" ht="13.5" customHeight="1">
      <c r="A43" s="140"/>
      <c r="B43" s="285" t="s">
        <v>550</v>
      </c>
      <c r="C43" s="285"/>
      <c r="D43" s="285"/>
      <c r="E43" s="285"/>
      <c r="F43" s="285"/>
      <c r="G43" s="285"/>
      <c r="H43" s="285"/>
      <c r="I43" s="285"/>
      <c r="J43" s="283">
        <f>'2.2 Custo Fixo'!H32</f>
        <v>0</v>
      </c>
      <c r="K43" s="283">
        <f>J43/(IF('1.2. KM programada'!$D$7="x",SUM('1.2. KM programada'!$N$16:$P$26),IF('1.2. KM programada'!$D$7="X",SUM('1.2. KM programada'!$N$16:$P$111),'1.2. KM programada'!$D$10)))</f>
        <v>0</v>
      </c>
      <c r="L43" s="283">
        <f>J43/SUM('1.3 Frota Total'!$C$19:$F$25)</f>
        <v>0</v>
      </c>
      <c r="M43" s="284">
        <f t="shared" si="10"/>
        <v>0</v>
      </c>
      <c r="N43" s="261">
        <f t="shared" si="11"/>
        <v>0</v>
      </c>
      <c r="O43" s="140"/>
      <c r="P43" s="140"/>
      <c r="Q43" s="140"/>
      <c r="R43" s="140"/>
      <c r="S43" s="140"/>
      <c r="T43" s="140"/>
      <c r="U43" s="140"/>
      <c r="V43" s="140"/>
      <c r="W43" s="140"/>
      <c r="X43" s="140"/>
      <c r="Y43" s="140"/>
      <c r="Z43" s="140"/>
    </row>
    <row r="44" spans="1:26" ht="15.75" customHeight="1">
      <c r="A44" s="140"/>
      <c r="B44" s="286" t="s">
        <v>527</v>
      </c>
      <c r="C44" s="286"/>
      <c r="D44" s="286"/>
      <c r="E44" s="286"/>
      <c r="F44" s="286"/>
      <c r="G44" s="286"/>
      <c r="H44" s="286"/>
      <c r="I44" s="286"/>
      <c r="J44" s="287">
        <f>SUM(J41:J43)</f>
        <v>5791</v>
      </c>
      <c r="K44" s="283">
        <f>J44/(IF('1.2. KM programada'!$D$7="x",SUM('1.2. KM programada'!$N$16:$P$26),IF('1.2. KM programada'!$D$7="X",SUM('1.2. KM programada'!$N$16:$P$111),'1.2. KM programada'!$D$10)))</f>
        <v>0.13386190795404637</v>
      </c>
      <c r="L44" s="287">
        <f>SUM(L41:L43)</f>
        <v>413.64285714285717</v>
      </c>
      <c r="M44" s="288">
        <f>SUM(M41:M43)</f>
        <v>0.0344361010708578</v>
      </c>
      <c r="N44" s="261">
        <f t="shared" si="11"/>
        <v>0.014452700700590102</v>
      </c>
      <c r="O44" s="140"/>
      <c r="P44" s="140"/>
      <c r="Q44" s="140"/>
      <c r="R44" s="140"/>
      <c r="S44" s="140"/>
      <c r="T44" s="140"/>
      <c r="U44" s="140"/>
      <c r="V44" s="140"/>
      <c r="W44" s="140"/>
      <c r="X44" s="140"/>
      <c r="Y44" s="140"/>
      <c r="Z44" s="140"/>
    </row>
    <row r="45" spans="1:26" ht="12.75">
      <c r="A45" s="140"/>
      <c r="B45" s="289" t="s">
        <v>551</v>
      </c>
      <c r="C45" s="289"/>
      <c r="D45" s="289"/>
      <c r="E45" s="289"/>
      <c r="F45" s="289"/>
      <c r="G45" s="289"/>
      <c r="H45" s="289"/>
      <c r="I45" s="289"/>
      <c r="J45" s="290">
        <f>J16+J23+J31+J39+J44</f>
        <v>168166.54092413333</v>
      </c>
      <c r="K45" s="291">
        <f>K16+K23+K31+K39+K44</f>
        <v>3.887255054763721</v>
      </c>
      <c r="L45" s="291">
        <f>L16+L23+L31+L39+L44</f>
        <v>12011.895780295237</v>
      </c>
      <c r="M45" s="292">
        <f>M16+M23+M31+M39+M44</f>
        <v>1</v>
      </c>
      <c r="N45" s="293">
        <f t="shared" si="11"/>
        <v>0.41969619820929643</v>
      </c>
      <c r="O45" s="140"/>
      <c r="P45" s="140"/>
      <c r="Q45" s="140"/>
      <c r="R45" s="140"/>
      <c r="S45" s="140"/>
      <c r="T45" s="140"/>
      <c r="U45" s="140"/>
      <c r="V45" s="140"/>
      <c r="W45" s="140"/>
      <c r="X45" s="140"/>
      <c r="Y45" s="140"/>
      <c r="Z45" s="140"/>
    </row>
    <row r="46" spans="1:26" ht="12.75">
      <c r="A46" s="140"/>
      <c r="B46" s="294"/>
      <c r="C46" s="294"/>
      <c r="D46" s="294"/>
      <c r="E46" s="294"/>
      <c r="F46" s="294"/>
      <c r="G46" s="294"/>
      <c r="H46" s="294"/>
      <c r="I46" s="294"/>
      <c r="J46" s="251"/>
      <c r="K46" s="251"/>
      <c r="L46" s="251"/>
      <c r="M46" s="251"/>
      <c r="N46" s="257"/>
      <c r="O46" s="140"/>
      <c r="P46" s="140"/>
      <c r="Q46" s="140"/>
      <c r="R46" s="140"/>
      <c r="S46" s="140"/>
      <c r="T46" s="140"/>
      <c r="U46" s="140"/>
      <c r="V46" s="140"/>
      <c r="W46" s="140"/>
      <c r="X46" s="140"/>
      <c r="Y46" s="140"/>
      <c r="Z46" s="140"/>
    </row>
    <row r="47" spans="1:26" ht="12.75">
      <c r="A47" s="140"/>
      <c r="B47" s="295" t="s">
        <v>552</v>
      </c>
      <c r="C47" s="295"/>
      <c r="D47" s="295"/>
      <c r="E47" s="295"/>
      <c r="F47" s="295"/>
      <c r="G47" s="295"/>
      <c r="H47" s="295"/>
      <c r="I47" s="295"/>
      <c r="J47" s="290">
        <f>J45+J11</f>
        <v>290125.15123525885</v>
      </c>
      <c r="K47" s="296">
        <f>K45+K11</f>
        <v>6.706390310793991</v>
      </c>
      <c r="L47" s="296">
        <f>L45+L11</f>
        <v>20723.225088232775</v>
      </c>
      <c r="M47" s="57"/>
      <c r="N47" s="261">
        <f>J47/$J$62</f>
        <v>0.7240704500978474</v>
      </c>
      <c r="O47" s="140"/>
      <c r="P47" s="140"/>
      <c r="Q47" s="140"/>
      <c r="R47" s="140"/>
      <c r="S47" s="140"/>
      <c r="T47" s="140"/>
      <c r="U47" s="140"/>
      <c r="V47" s="140"/>
      <c r="W47" s="140"/>
      <c r="X47" s="140"/>
      <c r="Y47" s="140"/>
      <c r="Z47" s="140"/>
    </row>
    <row r="48" spans="1:26" ht="12.75">
      <c r="A48" s="140"/>
      <c r="B48" s="294"/>
      <c r="C48" s="294"/>
      <c r="D48" s="294"/>
      <c r="E48" s="294"/>
      <c r="F48" s="294"/>
      <c r="G48" s="294"/>
      <c r="H48" s="294"/>
      <c r="I48" s="294"/>
      <c r="J48" s="251"/>
      <c r="K48" s="251"/>
      <c r="L48" s="251"/>
      <c r="M48" s="251"/>
      <c r="N48" s="257"/>
      <c r="O48" s="140"/>
      <c r="P48" s="140"/>
      <c r="Q48" s="140"/>
      <c r="R48" s="140"/>
      <c r="S48" s="140"/>
      <c r="T48" s="140"/>
      <c r="U48" s="140"/>
      <c r="V48" s="140"/>
      <c r="W48" s="140"/>
      <c r="X48" s="140"/>
      <c r="Y48" s="140"/>
      <c r="Z48" s="140"/>
    </row>
    <row r="49" spans="1:26" ht="12.75">
      <c r="A49" s="140"/>
      <c r="B49" s="297" t="s">
        <v>553</v>
      </c>
      <c r="C49" s="297"/>
      <c r="D49" s="297"/>
      <c r="E49" s="297"/>
      <c r="F49" s="297"/>
      <c r="G49" s="297"/>
      <c r="H49" s="297"/>
      <c r="I49" s="297"/>
      <c r="J49" s="298">
        <f>'4. Custo Total'!H7</f>
        <v>21208.148555297426</v>
      </c>
      <c r="K49" s="298">
        <f>J49/(IF('1.2. KM programada'!$D$7="x",SUM('1.2. KM programada'!$N$16:$P$26),IF('1.2. KM programada'!$D$7="X",SUM('1.2. KM programada'!$N$16:$P$111),'1.2. KM programada'!$D$10)))</f>
        <v>0.4902371317190409</v>
      </c>
      <c r="L49" s="298">
        <f>J49/SUM('1.3 Frota Total'!$C$19:$F$25)</f>
        <v>1514.8677539498162</v>
      </c>
      <c r="M49" s="57"/>
      <c r="N49" s="261">
        <f>J49/$J$62</f>
        <v>0.052929549902152664</v>
      </c>
      <c r="O49" s="140"/>
      <c r="P49" s="140"/>
      <c r="Q49" s="140"/>
      <c r="R49" s="140"/>
      <c r="S49" s="140"/>
      <c r="T49" s="140"/>
      <c r="U49" s="140"/>
      <c r="V49" s="140"/>
      <c r="W49" s="140"/>
      <c r="X49" s="140"/>
      <c r="Y49" s="140"/>
      <c r="Z49" s="140"/>
    </row>
    <row r="50" spans="1:26" ht="12.75">
      <c r="A50" s="140"/>
      <c r="B50" s="251"/>
      <c r="C50" s="251"/>
      <c r="D50" s="251"/>
      <c r="E50" s="251"/>
      <c r="F50" s="251"/>
      <c r="G50" s="251"/>
      <c r="H50" s="251"/>
      <c r="I50" s="251"/>
      <c r="J50" s="251"/>
      <c r="K50" s="251"/>
      <c r="L50" s="251"/>
      <c r="M50" s="251"/>
      <c r="N50" s="257"/>
      <c r="O50" s="140"/>
      <c r="P50" s="140"/>
      <c r="Q50" s="140"/>
      <c r="R50" s="140"/>
      <c r="S50" s="140"/>
      <c r="T50" s="140"/>
      <c r="U50" s="140"/>
      <c r="V50" s="140"/>
      <c r="W50" s="140"/>
      <c r="X50" s="140"/>
      <c r="Y50" s="140"/>
      <c r="Z50" s="140"/>
    </row>
    <row r="51" spans="1:26" ht="12.75">
      <c r="A51" s="140"/>
      <c r="B51" s="299" t="s">
        <v>554</v>
      </c>
      <c r="C51" s="299"/>
      <c r="D51" s="299"/>
      <c r="E51" s="299"/>
      <c r="F51" s="299"/>
      <c r="G51" s="299"/>
      <c r="H51" s="299"/>
      <c r="I51" s="299"/>
      <c r="J51" s="299"/>
      <c r="K51" s="299"/>
      <c r="L51" s="299"/>
      <c r="M51" s="299"/>
      <c r="N51" s="257"/>
      <c r="O51" s="140"/>
      <c r="P51" s="140"/>
      <c r="Q51" s="140"/>
      <c r="R51" s="140"/>
      <c r="S51" s="140"/>
      <c r="T51" s="140"/>
      <c r="U51" s="140"/>
      <c r="V51" s="140"/>
      <c r="W51" s="140"/>
      <c r="X51" s="140"/>
      <c r="Y51" s="140"/>
      <c r="Z51" s="140"/>
    </row>
    <row r="52" spans="1:26" ht="12.75">
      <c r="A52" s="140"/>
      <c r="B52" s="300" t="s">
        <v>555</v>
      </c>
      <c r="C52" s="300"/>
      <c r="D52" s="300"/>
      <c r="E52" s="300"/>
      <c r="F52" s="300"/>
      <c r="G52" s="300"/>
      <c r="H52" s="300"/>
      <c r="I52" s="300"/>
      <c r="J52" s="300"/>
      <c r="K52" s="300"/>
      <c r="L52" s="300"/>
      <c r="M52" s="301">
        <v>0.05275663</v>
      </c>
      <c r="N52" s="261">
        <f aca="true" t="shared" si="12" ref="N52:N58">J52/$J$62</f>
        <v>0</v>
      </c>
      <c r="O52" s="140"/>
      <c r="P52" s="140"/>
      <c r="Q52" s="140"/>
      <c r="R52" s="140"/>
      <c r="S52" s="140"/>
      <c r="T52" s="140"/>
      <c r="U52" s="140"/>
      <c r="V52" s="140"/>
      <c r="W52" s="140"/>
      <c r="X52" s="140"/>
      <c r="Y52" s="140"/>
      <c r="Z52" s="140"/>
    </row>
    <row r="53" spans="1:26" ht="12.75">
      <c r="A53" s="140"/>
      <c r="B53" s="302" t="s">
        <v>556</v>
      </c>
      <c r="C53" s="302"/>
      <c r="D53" s="302"/>
      <c r="E53" s="302"/>
      <c r="F53" s="302"/>
      <c r="G53" s="302"/>
      <c r="H53" s="302"/>
      <c r="I53" s="302"/>
      <c r="J53" s="302"/>
      <c r="K53" s="302"/>
      <c r="L53" s="302"/>
      <c r="M53" s="301">
        <v>0.05</v>
      </c>
      <c r="N53" s="261">
        <f t="shared" si="12"/>
        <v>0</v>
      </c>
      <c r="O53" s="140"/>
      <c r="P53" s="140"/>
      <c r="Q53" s="140"/>
      <c r="R53" s="140"/>
      <c r="S53" s="140"/>
      <c r="T53" s="140"/>
      <c r="U53" s="140"/>
      <c r="V53" s="140"/>
      <c r="W53" s="140"/>
      <c r="X53" s="140"/>
      <c r="Y53" s="140"/>
      <c r="Z53" s="140"/>
    </row>
    <row r="54" spans="1:26" ht="12.75">
      <c r="A54" s="140"/>
      <c r="B54" s="302" t="s">
        <v>557</v>
      </c>
      <c r="C54" s="302"/>
      <c r="D54" s="302"/>
      <c r="E54" s="302"/>
      <c r="F54" s="302"/>
      <c r="G54" s="302"/>
      <c r="H54" s="302"/>
      <c r="I54" s="302"/>
      <c r="J54" s="302"/>
      <c r="K54" s="302"/>
      <c r="L54" s="302"/>
      <c r="M54" s="301">
        <f>'[1]2.1.c Insumos'!F101/100</f>
        <v>0</v>
      </c>
      <c r="N54" s="261">
        <f t="shared" si="12"/>
        <v>0</v>
      </c>
      <c r="O54" s="140"/>
      <c r="P54" s="140"/>
      <c r="Q54" s="140"/>
      <c r="R54" s="140"/>
      <c r="S54" s="140"/>
      <c r="T54" s="140"/>
      <c r="U54" s="140"/>
      <c r="V54" s="140"/>
      <c r="W54" s="140"/>
      <c r="X54" s="140"/>
      <c r="Y54" s="140"/>
      <c r="Z54" s="140"/>
    </row>
    <row r="55" spans="1:26" ht="12.75">
      <c r="A55" s="140"/>
      <c r="B55" s="302" t="s">
        <v>558</v>
      </c>
      <c r="C55" s="302"/>
      <c r="D55" s="302"/>
      <c r="E55" s="302"/>
      <c r="F55" s="302"/>
      <c r="G55" s="302"/>
      <c r="H55" s="302"/>
      <c r="I55" s="302"/>
      <c r="J55" s="302"/>
      <c r="K55" s="302"/>
      <c r="L55" s="302"/>
      <c r="M55" s="301">
        <f>'[1]2.1.c Insumos'!F99/100</f>
        <v>0</v>
      </c>
      <c r="N55" s="261">
        <f t="shared" si="12"/>
        <v>0</v>
      </c>
      <c r="O55" s="140"/>
      <c r="P55" s="140"/>
      <c r="Q55" s="140"/>
      <c r="R55" s="140"/>
      <c r="S55" s="140"/>
      <c r="T55" s="140"/>
      <c r="U55" s="140"/>
      <c r="V55" s="140"/>
      <c r="W55" s="140"/>
      <c r="X55" s="140"/>
      <c r="Y55" s="140"/>
      <c r="Z55" s="140"/>
    </row>
    <row r="56" spans="1:26" ht="12.75">
      <c r="A56" s="140"/>
      <c r="B56" s="302" t="s">
        <v>559</v>
      </c>
      <c r="C56" s="302"/>
      <c r="D56" s="302"/>
      <c r="E56" s="302"/>
      <c r="F56" s="302"/>
      <c r="G56" s="302"/>
      <c r="H56" s="302"/>
      <c r="I56" s="302"/>
      <c r="J56" s="302"/>
      <c r="K56" s="302"/>
      <c r="L56" s="302"/>
      <c r="M56" s="301">
        <v>0.00600215</v>
      </c>
      <c r="N56" s="261">
        <f t="shared" si="12"/>
        <v>0</v>
      </c>
      <c r="O56" s="140"/>
      <c r="P56" s="140"/>
      <c r="Q56" s="140"/>
      <c r="R56" s="140"/>
      <c r="S56" s="140"/>
      <c r="T56" s="140"/>
      <c r="U56" s="140"/>
      <c r="V56" s="140"/>
      <c r="W56" s="140"/>
      <c r="X56" s="140"/>
      <c r="Y56" s="140"/>
      <c r="Z56" s="140"/>
    </row>
    <row r="57" spans="1:26" ht="12.75">
      <c r="A57" s="140"/>
      <c r="B57" s="302" t="s">
        <v>560</v>
      </c>
      <c r="C57" s="302"/>
      <c r="D57" s="302"/>
      <c r="E57" s="302"/>
      <c r="F57" s="302"/>
      <c r="G57" s="302"/>
      <c r="H57" s="302"/>
      <c r="I57" s="302"/>
      <c r="J57" s="302"/>
      <c r="K57" s="302"/>
      <c r="L57" s="302"/>
      <c r="M57" s="301">
        <v>0.0277275</v>
      </c>
      <c r="N57" s="261">
        <f t="shared" si="12"/>
        <v>0</v>
      </c>
      <c r="O57" s="140"/>
      <c r="P57" s="140"/>
      <c r="Q57" s="140"/>
      <c r="R57" s="140"/>
      <c r="S57" s="140"/>
      <c r="T57" s="140"/>
      <c r="U57" s="140"/>
      <c r="V57" s="140"/>
      <c r="W57" s="140"/>
      <c r="X57" s="140"/>
      <c r="Y57" s="140"/>
      <c r="Z57" s="140"/>
    </row>
    <row r="58" spans="1:26" ht="12.75">
      <c r="A58" s="140"/>
      <c r="B58" s="303" t="s">
        <v>561</v>
      </c>
      <c r="C58" s="303"/>
      <c r="D58" s="303"/>
      <c r="E58" s="303"/>
      <c r="F58" s="303"/>
      <c r="G58" s="303"/>
      <c r="H58" s="303"/>
      <c r="I58" s="303"/>
      <c r="J58" s="303"/>
      <c r="K58" s="303"/>
      <c r="L58" s="303"/>
      <c r="M58" s="304">
        <v>0.086486</v>
      </c>
      <c r="N58" s="305">
        <f t="shared" si="12"/>
        <v>0</v>
      </c>
      <c r="O58" s="140"/>
      <c r="P58" s="140"/>
      <c r="Q58" s="140"/>
      <c r="R58" s="140"/>
      <c r="S58" s="140"/>
      <c r="T58" s="140"/>
      <c r="U58" s="140"/>
      <c r="V58" s="140"/>
      <c r="W58" s="140"/>
      <c r="X58" s="140"/>
      <c r="Y58" s="140"/>
      <c r="Z58" s="140"/>
    </row>
    <row r="59" spans="1:26" ht="12.75">
      <c r="A59" s="140"/>
      <c r="B59" s="306" t="s">
        <v>562</v>
      </c>
      <c r="C59" s="306"/>
      <c r="D59" s="306"/>
      <c r="E59" s="306"/>
      <c r="F59" s="306"/>
      <c r="G59" s="306"/>
      <c r="H59" s="306"/>
      <c r="I59" s="306"/>
      <c r="J59" s="306"/>
      <c r="K59" s="306"/>
      <c r="L59" s="306"/>
      <c r="M59" s="307">
        <v>0.223</v>
      </c>
      <c r="N59" s="250"/>
      <c r="O59" s="140"/>
      <c r="P59" s="140"/>
      <c r="Q59" s="140"/>
      <c r="R59" s="140"/>
      <c r="S59" s="140"/>
      <c r="T59" s="140"/>
      <c r="U59" s="140"/>
      <c r="V59" s="140"/>
      <c r="W59" s="140"/>
      <c r="X59" s="140"/>
      <c r="Y59" s="140"/>
      <c r="Z59" s="140"/>
    </row>
    <row r="60" spans="1:26" ht="12.75">
      <c r="A60" s="140"/>
      <c r="B60" s="308" t="s">
        <v>563</v>
      </c>
      <c r="C60" s="308"/>
      <c r="D60" s="308"/>
      <c r="E60" s="308"/>
      <c r="F60" s="308"/>
      <c r="G60" s="308"/>
      <c r="H60" s="308"/>
      <c r="I60" s="308"/>
      <c r="J60" s="296">
        <f>(J47+J49)*(1/(1-$M$59)-1)</f>
        <v>89353.05772624716</v>
      </c>
      <c r="K60" s="296">
        <f>(K47+K49)*$M$59</f>
        <v>1.6048479196804062</v>
      </c>
      <c r="L60" s="296">
        <f>(L47+L49)*$M$59</f>
        <v>4959.094703806718</v>
      </c>
      <c r="M60" s="57"/>
      <c r="N60" s="250">
        <f>J60/$J$62</f>
        <v>0.22300000000000003</v>
      </c>
      <c r="O60" s="140"/>
      <c r="P60" s="140"/>
      <c r="Q60" s="140"/>
      <c r="R60" s="140"/>
      <c r="S60" s="140"/>
      <c r="T60" s="140"/>
      <c r="U60" s="140"/>
      <c r="V60" s="140"/>
      <c r="W60" s="140"/>
      <c r="X60" s="140"/>
      <c r="Y60" s="140"/>
      <c r="Z60" s="140"/>
    </row>
    <row r="61" spans="1:26" ht="12.75">
      <c r="A61" s="140"/>
      <c r="B61" s="251"/>
      <c r="C61" s="251"/>
      <c r="D61" s="251"/>
      <c r="E61" s="251"/>
      <c r="F61" s="251"/>
      <c r="G61" s="251"/>
      <c r="H61" s="251"/>
      <c r="I61" s="251"/>
      <c r="J61" s="251"/>
      <c r="K61" s="251"/>
      <c r="L61" s="251"/>
      <c r="M61" s="251"/>
      <c r="N61" s="250"/>
      <c r="O61" s="140"/>
      <c r="P61" s="309"/>
      <c r="Q61" s="140"/>
      <c r="R61" s="140"/>
      <c r="S61" s="140"/>
      <c r="T61" s="140"/>
      <c r="U61" s="140"/>
      <c r="V61" s="140"/>
      <c r="W61" s="140"/>
      <c r="X61" s="140"/>
      <c r="Y61" s="140"/>
      <c r="Z61" s="140"/>
    </row>
    <row r="62" spans="1:26" ht="12.75">
      <c r="A62" s="140"/>
      <c r="B62" s="310" t="s">
        <v>564</v>
      </c>
      <c r="C62" s="310"/>
      <c r="D62" s="310"/>
      <c r="E62" s="310"/>
      <c r="F62" s="310"/>
      <c r="G62" s="310"/>
      <c r="H62" s="310"/>
      <c r="I62" s="310"/>
      <c r="J62" s="311">
        <f>(J11+J45+J49)/(1-M59)</f>
        <v>400686.3575168034</v>
      </c>
      <c r="K62" s="312">
        <f>K60+K49+K47</f>
        <v>8.801475362193438</v>
      </c>
      <c r="L62" s="311">
        <f>L60+L49+L47</f>
        <v>27197.18754598931</v>
      </c>
      <c r="M62" s="57"/>
      <c r="N62" s="250"/>
      <c r="O62" s="140"/>
      <c r="P62" s="140"/>
      <c r="Q62" s="140"/>
      <c r="R62" s="140"/>
      <c r="S62" s="140"/>
      <c r="T62" s="140"/>
      <c r="U62" s="140"/>
      <c r="V62" s="140"/>
      <c r="W62" s="140"/>
      <c r="X62" s="140"/>
      <c r="Y62" s="140"/>
      <c r="Z62" s="140"/>
    </row>
    <row r="63" spans="16:26" ht="12.75">
      <c r="P63" s="313"/>
      <c r="U63" s="140"/>
      <c r="V63" s="140"/>
      <c r="W63" s="140"/>
      <c r="X63" s="140"/>
      <c r="Y63" s="140"/>
      <c r="Z63" s="140"/>
    </row>
    <row r="65" ht="12.75">
      <c r="K65" s="314"/>
    </row>
    <row r="66" ht="12.75">
      <c r="K66" s="314"/>
    </row>
  </sheetData>
  <sheetProtection selectLockedCells="1" selectUnlockedCells="1"/>
  <mergeCells count="48">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1:M51"/>
    <mergeCell ref="B52:L52"/>
    <mergeCell ref="B53:L53"/>
    <mergeCell ref="B54:L54"/>
    <mergeCell ref="B55:L55"/>
    <mergeCell ref="B56:L56"/>
    <mergeCell ref="B57:L57"/>
    <mergeCell ref="B58:L58"/>
    <mergeCell ref="B59:L59"/>
    <mergeCell ref="B60:I60"/>
    <mergeCell ref="B62:I62"/>
  </mergeCells>
  <printOptions/>
  <pageMargins left="0.5118055555555556" right="0.5118055555555556" top="0.7875" bottom="0.7875" header="0.5118110236220472" footer="0.5118110236220472"/>
  <pageSetup horizontalDpi="300" verticalDpi="300" orientation="landscape" paperSize="9" scale="80"/>
</worksheet>
</file>

<file path=xl/worksheets/sheet26.xml><?xml version="1.0" encoding="utf-8"?>
<worksheet xmlns="http://schemas.openxmlformats.org/spreadsheetml/2006/main" xmlns:r="http://schemas.openxmlformats.org/officeDocument/2006/relationships">
  <sheetPr>
    <tabColor indexed="22"/>
  </sheetPr>
  <dimension ref="A1:J15"/>
  <sheetViews>
    <sheetView workbookViewId="0" topLeftCell="A1">
      <selection activeCell="D9" sqref="D9"/>
    </sheetView>
  </sheetViews>
  <sheetFormatPr defaultColWidth="9.140625" defaultRowHeight="12.75"/>
  <cols>
    <col min="1" max="1" width="14.8515625" style="0" customWidth="1"/>
    <col min="2" max="2" width="23.8515625" style="0" customWidth="1"/>
    <col min="3" max="3" width="14.28125" style="0" customWidth="1"/>
    <col min="4" max="4" width="16.7109375" style="0" customWidth="1"/>
    <col min="9" max="9" width="38.7109375" style="0" customWidth="1"/>
  </cols>
  <sheetData>
    <row r="1" ht="12.75">
      <c r="A1" s="114" t="s">
        <v>565</v>
      </c>
    </row>
    <row r="3" ht="15">
      <c r="A3" s="36" t="s">
        <v>566</v>
      </c>
    </row>
    <row r="4" ht="15.75">
      <c r="A4" s="48"/>
    </row>
    <row r="5" spans="1:10" ht="20.25">
      <c r="A5" s="315"/>
      <c r="B5" s="315"/>
      <c r="C5" s="316" t="s">
        <v>567</v>
      </c>
      <c r="D5" s="316" t="s">
        <v>568</v>
      </c>
      <c r="G5" s="15" t="s">
        <v>16</v>
      </c>
      <c r="H5" s="15"/>
      <c r="I5" s="15"/>
      <c r="J5" s="15"/>
    </row>
    <row r="6" spans="1:10" ht="16.5">
      <c r="A6" s="317"/>
      <c r="B6" s="318" t="s">
        <v>569</v>
      </c>
      <c r="C6" s="319">
        <v>0.24</v>
      </c>
      <c r="D6" s="319">
        <v>0.29</v>
      </c>
      <c r="G6" s="17"/>
      <c r="H6" s="18"/>
      <c r="I6" s="18"/>
      <c r="J6" s="19"/>
    </row>
    <row r="7" spans="1:10" ht="16.5">
      <c r="A7" s="317"/>
      <c r="B7" s="318" t="s">
        <v>126</v>
      </c>
      <c r="C7" s="319">
        <v>0.3</v>
      </c>
      <c r="D7" s="319">
        <v>0.34</v>
      </c>
      <c r="G7" s="20"/>
      <c r="H7" s="21"/>
      <c r="I7" s="22" t="s">
        <v>18</v>
      </c>
      <c r="J7" s="23"/>
    </row>
    <row r="8" spans="1:10" ht="16.5">
      <c r="A8" s="317" t="s">
        <v>570</v>
      </c>
      <c r="B8" s="318" t="s">
        <v>130</v>
      </c>
      <c r="C8" s="319">
        <v>0.34</v>
      </c>
      <c r="D8" s="319">
        <v>0.38</v>
      </c>
      <c r="G8" s="20"/>
      <c r="H8" s="27"/>
      <c r="I8" s="22" t="s">
        <v>20</v>
      </c>
      <c r="J8" s="23"/>
    </row>
    <row r="9" spans="1:10" ht="16.5">
      <c r="A9" s="317" t="s">
        <v>571</v>
      </c>
      <c r="B9" s="318" t="s">
        <v>134</v>
      </c>
      <c r="C9" s="319">
        <v>0.37</v>
      </c>
      <c r="D9" s="319">
        <v>0.45</v>
      </c>
      <c r="G9" s="20"/>
      <c r="H9" s="28"/>
      <c r="I9" s="22" t="s">
        <v>22</v>
      </c>
      <c r="J9" s="23"/>
    </row>
    <row r="10" spans="1:10" ht="16.5">
      <c r="A10" s="317" t="s">
        <v>572</v>
      </c>
      <c r="B10" s="318" t="s">
        <v>138</v>
      </c>
      <c r="C10" s="319">
        <v>0.45</v>
      </c>
      <c r="D10" s="319">
        <v>0.65</v>
      </c>
      <c r="G10" s="29"/>
      <c r="H10" s="30"/>
      <c r="I10" s="30"/>
      <c r="J10" s="31"/>
    </row>
    <row r="11" spans="1:4" ht="16.5">
      <c r="A11" s="320"/>
      <c r="B11" s="318" t="s">
        <v>140</v>
      </c>
      <c r="C11" s="319">
        <v>0.65</v>
      </c>
      <c r="D11" s="319">
        <v>0.85</v>
      </c>
    </row>
    <row r="12" spans="1:4" ht="16.5">
      <c r="A12" s="321"/>
      <c r="B12" s="318" t="s">
        <v>144</v>
      </c>
      <c r="C12" s="319">
        <v>0.86</v>
      </c>
      <c r="D12" s="319">
        <v>0.95</v>
      </c>
    </row>
    <row r="15" ht="12.75">
      <c r="A15" s="322" t="s">
        <v>573</v>
      </c>
    </row>
  </sheetData>
  <sheetProtection selectLockedCells="1" selectUnlockedCells="1"/>
  <mergeCells count="2">
    <mergeCell ref="A5:B5"/>
    <mergeCell ref="G5:J5"/>
  </mergeCells>
  <hyperlinks>
    <hyperlink ref="A1" location="'2.1.a Combustível'!A1" display="ANEXO III – Consumo de combustível"/>
  </hyperlinks>
  <printOptions/>
  <pageMargins left="0.5118055555555556" right="0.5118055555555556" top="0.7875" bottom="0.78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22"/>
  </sheetPr>
  <dimension ref="A1:J10"/>
  <sheetViews>
    <sheetView workbookViewId="0" topLeftCell="A1">
      <selection activeCell="D7" sqref="D7"/>
    </sheetView>
  </sheetViews>
  <sheetFormatPr defaultColWidth="9.140625" defaultRowHeight="12.75"/>
  <cols>
    <col min="1" max="1" width="27.421875" style="0" customWidth="1"/>
    <col min="2" max="8" width="9.140625" style="0" customWidth="1"/>
    <col min="9" max="9" width="31.140625" style="0" customWidth="1"/>
  </cols>
  <sheetData>
    <row r="1" ht="12.75">
      <c r="A1" s="114" t="s">
        <v>574</v>
      </c>
    </row>
    <row r="3" ht="15.75" customHeight="1">
      <c r="A3" s="36" t="s">
        <v>575</v>
      </c>
    </row>
    <row r="4" ht="15.75" customHeight="1">
      <c r="A4" s="48"/>
    </row>
    <row r="5" spans="1:10" ht="16.5" customHeight="1">
      <c r="A5" s="323" t="s">
        <v>576</v>
      </c>
      <c r="B5" s="323"/>
      <c r="C5" s="323"/>
      <c r="D5" s="324" t="s">
        <v>577</v>
      </c>
      <c r="E5" s="325" t="s">
        <v>578</v>
      </c>
      <c r="G5" s="15" t="s">
        <v>16</v>
      </c>
      <c r="H5" s="15"/>
      <c r="I5" s="15"/>
      <c r="J5" s="15"/>
    </row>
    <row r="6" spans="1:10" ht="15">
      <c r="A6" s="323"/>
      <c r="B6" s="323"/>
      <c r="C6" s="323"/>
      <c r="D6" s="324"/>
      <c r="E6" s="325"/>
      <c r="G6" s="17"/>
      <c r="H6" s="18"/>
      <c r="I6" s="18"/>
      <c r="J6" s="19"/>
    </row>
    <row r="7" spans="1:10" ht="15.75">
      <c r="A7" s="323"/>
      <c r="B7" s="323"/>
      <c r="C7" s="323"/>
      <c r="D7" s="326">
        <v>0.0265</v>
      </c>
      <c r="E7" s="326" t="s">
        <v>579</v>
      </c>
      <c r="G7" s="20"/>
      <c r="H7" s="21"/>
      <c r="I7" s="22" t="s">
        <v>18</v>
      </c>
      <c r="J7" s="23"/>
    </row>
    <row r="8" spans="7:10" ht="15">
      <c r="G8" s="20"/>
      <c r="H8" s="27"/>
      <c r="I8" s="22" t="s">
        <v>20</v>
      </c>
      <c r="J8" s="23"/>
    </row>
    <row r="9" spans="7:10" ht="15">
      <c r="G9" s="20"/>
      <c r="H9" s="28"/>
      <c r="I9" s="22" t="s">
        <v>22</v>
      </c>
      <c r="J9" s="23"/>
    </row>
    <row r="10" spans="7:10" ht="15.75">
      <c r="G10" s="29"/>
      <c r="H10" s="30"/>
      <c r="I10" s="30"/>
      <c r="J10" s="31"/>
    </row>
  </sheetData>
  <sheetProtection selectLockedCells="1" selectUnlockedCells="1"/>
  <mergeCells count="4">
    <mergeCell ref="A5:C7"/>
    <mergeCell ref="D5:D6"/>
    <mergeCell ref="E5:E6"/>
    <mergeCell ref="G5:J5"/>
  </mergeCells>
  <hyperlinks>
    <hyperlink ref="A1" location="'2.1.c Insumos'!A1" display="ANEXO IV – RELAÇÃO ENTRE O PREÇO DE LUBRIFICANTES E CONSUMO DE ÓLEO DIESEL"/>
  </hyperlinks>
  <printOptions/>
  <pageMargins left="0.5118055555555556" right="0.5118055555555556" top="0.7875" bottom="0.78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A1" sqref="A1"/>
    </sheetView>
  </sheetViews>
  <sheetFormatPr defaultColWidth="9.140625" defaultRowHeight="12.75"/>
  <cols>
    <col min="1" max="1" width="5.57421875" style="0" customWidth="1"/>
    <col min="2" max="4" width="9.140625" style="0" customWidth="1"/>
    <col min="5" max="5" width="10.8515625" style="0" customWidth="1"/>
    <col min="6" max="6" width="11.28125" style="0" customWidth="1"/>
    <col min="7" max="7" width="9.140625" style="0" customWidth="1"/>
    <col min="8" max="8" width="5.8515625" style="0" customWidth="1"/>
    <col min="9" max="9" width="9.140625" style="0" customWidth="1"/>
    <col min="10" max="10" width="38.7109375" style="0" customWidth="1"/>
    <col min="11" max="11" width="1.1484375" style="0" customWidth="1"/>
  </cols>
  <sheetData>
    <row r="1" ht="15">
      <c r="A1" s="90" t="s">
        <v>580</v>
      </c>
    </row>
    <row r="3" spans="1:2" s="12" customFormat="1" ht="15">
      <c r="A3" s="103" t="s">
        <v>581</v>
      </c>
      <c r="B3" s="48" t="s">
        <v>582</v>
      </c>
    </row>
    <row r="4" spans="1:2" s="12" customFormat="1" ht="15.75">
      <c r="A4" s="103"/>
      <c r="B4" s="48"/>
    </row>
    <row r="5" spans="1:11" s="115" customFormat="1" ht="32.25" customHeight="1">
      <c r="A5" s="327" t="s">
        <v>583</v>
      </c>
      <c r="B5" s="327"/>
      <c r="C5" s="327"/>
      <c r="D5" s="327"/>
      <c r="E5" s="328" t="s">
        <v>584</v>
      </c>
      <c r="F5" s="328" t="s">
        <v>585</v>
      </c>
      <c r="H5" s="15" t="s">
        <v>16</v>
      </c>
      <c r="I5" s="15"/>
      <c r="J5" s="15"/>
      <c r="K5" s="15"/>
    </row>
    <row r="6" spans="1:11" s="115" customFormat="1" ht="15.75" customHeight="1">
      <c r="A6" s="327"/>
      <c r="B6" s="327"/>
      <c r="C6" s="327"/>
      <c r="D6" s="327"/>
      <c r="E6" s="329">
        <v>0.03</v>
      </c>
      <c r="F6" s="329">
        <v>0.05</v>
      </c>
      <c r="H6" s="17"/>
      <c r="I6" s="18"/>
      <c r="J6" s="18"/>
      <c r="K6" s="19"/>
    </row>
    <row r="7" spans="1:11" s="12" customFormat="1" ht="15.75" customHeight="1">
      <c r="A7" s="48"/>
      <c r="B7" s="48"/>
      <c r="C7" s="48"/>
      <c r="D7" s="48"/>
      <c r="H7" s="20"/>
      <c r="I7" s="21"/>
      <c r="J7" s="22" t="s">
        <v>18</v>
      </c>
      <c r="K7" s="23"/>
    </row>
    <row r="8" spans="1:11" s="12" customFormat="1" ht="15" customHeight="1">
      <c r="A8"/>
      <c r="B8"/>
      <c r="C8"/>
      <c r="D8"/>
      <c r="E8"/>
      <c r="F8"/>
      <c r="H8" s="20"/>
      <c r="I8" s="27"/>
      <c r="J8" s="22" t="s">
        <v>20</v>
      </c>
      <c r="K8" s="23"/>
    </row>
    <row r="9" spans="1:11" s="12" customFormat="1" ht="15">
      <c r="A9"/>
      <c r="B9"/>
      <c r="C9"/>
      <c r="D9"/>
      <c r="E9"/>
      <c r="F9"/>
      <c r="H9" s="20"/>
      <c r="I9" s="28"/>
      <c r="J9" s="22" t="s">
        <v>22</v>
      </c>
      <c r="K9" s="23"/>
    </row>
    <row r="10" spans="1:11" s="12" customFormat="1" ht="15.75">
      <c r="A10"/>
      <c r="B10"/>
      <c r="C10"/>
      <c r="D10"/>
      <c r="E10"/>
      <c r="F10"/>
      <c r="H10" s="29"/>
      <c r="I10" s="30"/>
      <c r="J10" s="30"/>
      <c r="K10" s="31"/>
    </row>
    <row r="11" spans="1:6" s="12" customFormat="1" ht="15">
      <c r="A11"/>
      <c r="B11"/>
      <c r="C11"/>
      <c r="D11"/>
      <c r="E11"/>
      <c r="F11"/>
    </row>
  </sheetData>
  <sheetProtection selectLockedCells="1" selectUnlockedCells="1"/>
  <mergeCells count="2">
    <mergeCell ref="A5:D6"/>
    <mergeCell ref="H5:K5"/>
  </mergeCells>
  <printOptions/>
  <pageMargins left="0.5118055555555556" right="0.5118055555555556" top="0.7875" bottom="0.78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42"/>
  </sheetPr>
  <dimension ref="A1:M60"/>
  <sheetViews>
    <sheetView workbookViewId="0" topLeftCell="A43">
      <selection activeCell="E57" sqref="E57"/>
    </sheetView>
  </sheetViews>
  <sheetFormatPr defaultColWidth="9.140625" defaultRowHeight="12.75"/>
  <cols>
    <col min="1" max="1" width="5.00390625" style="12" customWidth="1"/>
    <col min="2" max="2" width="21.00390625" style="12" customWidth="1"/>
    <col min="3" max="3" width="10.00390625" style="12" hidden="1" customWidth="1"/>
    <col min="4" max="4" width="18.421875" style="12" customWidth="1"/>
    <col min="5" max="5" width="10.00390625" style="12" customWidth="1"/>
    <col min="6" max="6" width="8.140625" style="12" customWidth="1"/>
    <col min="7" max="7" width="15.28125" style="12" customWidth="1"/>
    <col min="8" max="8" width="5.57421875" style="12" customWidth="1"/>
    <col min="9" max="9" width="11.421875" style="12" customWidth="1"/>
    <col min="10" max="10" width="4.7109375" style="12" customWidth="1"/>
    <col min="11" max="11" width="11.421875" style="12" customWidth="1"/>
    <col min="12" max="12" width="38.7109375" style="12" customWidth="1"/>
    <col min="13" max="13" width="0.85546875" style="12" customWidth="1"/>
    <col min="14" max="14" width="37.8515625" style="12" customWidth="1"/>
    <col min="15" max="16384" width="11.421875" style="12" customWidth="1"/>
  </cols>
  <sheetData>
    <row r="1" ht="15">
      <c r="A1" s="114" t="s">
        <v>586</v>
      </c>
    </row>
    <row r="3" spans="1:2" ht="15.75">
      <c r="A3" s="48" t="s">
        <v>587</v>
      </c>
      <c r="B3" s="48" t="s">
        <v>588</v>
      </c>
    </row>
    <row r="4" spans="1:13" ht="15" customHeight="1">
      <c r="A4" s="330" t="s">
        <v>589</v>
      </c>
      <c r="B4" s="330"/>
      <c r="C4" s="330"/>
      <c r="D4" s="331">
        <v>2</v>
      </c>
      <c r="F4" s="11"/>
      <c r="J4" s="15" t="s">
        <v>16</v>
      </c>
      <c r="K4" s="15"/>
      <c r="L4" s="15"/>
      <c r="M4" s="15"/>
    </row>
    <row r="5" spans="1:13" ht="15">
      <c r="A5" s="330" t="s">
        <v>590</v>
      </c>
      <c r="B5" s="330"/>
      <c r="C5" s="330"/>
      <c r="D5" s="331">
        <v>3</v>
      </c>
      <c r="F5" s="332"/>
      <c r="J5" s="17"/>
      <c r="K5" s="18"/>
      <c r="L5" s="18"/>
      <c r="M5" s="19"/>
    </row>
    <row r="6" spans="1:13" ht="15">
      <c r="A6" s="48"/>
      <c r="B6" s="48"/>
      <c r="J6" s="20"/>
      <c r="K6" s="21"/>
      <c r="L6" s="22" t="s">
        <v>18</v>
      </c>
      <c r="M6" s="23"/>
    </row>
    <row r="7" spans="1:13" ht="15">
      <c r="A7" s="48" t="s">
        <v>591</v>
      </c>
      <c r="B7" s="48" t="s">
        <v>592</v>
      </c>
      <c r="G7" s="123"/>
      <c r="J7" s="20"/>
      <c r="K7" s="27"/>
      <c r="L7" s="22" t="s">
        <v>20</v>
      </c>
      <c r="M7" s="23"/>
    </row>
    <row r="8" spans="1:13" ht="15">
      <c r="A8" s="333" t="s">
        <v>150</v>
      </c>
      <c r="B8" s="333"/>
      <c r="C8" s="333"/>
      <c r="D8" s="333" t="s">
        <v>593</v>
      </c>
      <c r="E8" s="333" t="s">
        <v>594</v>
      </c>
      <c r="F8" s="333"/>
      <c r="J8" s="20"/>
      <c r="K8" s="28"/>
      <c r="L8" s="22" t="s">
        <v>22</v>
      </c>
      <c r="M8" s="23"/>
    </row>
    <row r="9" spans="1:13" ht="15.75">
      <c r="A9" s="333"/>
      <c r="B9" s="333"/>
      <c r="C9" s="333"/>
      <c r="D9" s="333"/>
      <c r="E9" s="333"/>
      <c r="F9" s="333"/>
      <c r="J9" s="29"/>
      <c r="K9" s="30"/>
      <c r="L9" s="30"/>
      <c r="M9" s="31"/>
    </row>
    <row r="10" spans="1:7" ht="15" customHeight="1">
      <c r="A10" s="334" t="s">
        <v>122</v>
      </c>
      <c r="B10" s="334"/>
      <c r="C10" s="334"/>
      <c r="D10" s="331">
        <v>85000</v>
      </c>
      <c r="E10" s="331">
        <v>125000</v>
      </c>
      <c r="F10" s="331"/>
      <c r="G10" s="335" t="s">
        <v>89</v>
      </c>
    </row>
    <row r="11" spans="1:7" ht="15">
      <c r="A11" s="334" t="s">
        <v>126</v>
      </c>
      <c r="B11" s="334"/>
      <c r="C11" s="334"/>
      <c r="D11" s="331">
        <v>85000</v>
      </c>
      <c r="E11" s="331">
        <v>125000</v>
      </c>
      <c r="F11" s="331"/>
      <c r="G11" s="335"/>
    </row>
    <row r="12" spans="1:7" ht="15" customHeight="1">
      <c r="A12" s="334" t="s">
        <v>130</v>
      </c>
      <c r="B12" s="334"/>
      <c r="C12" s="334"/>
      <c r="D12" s="331">
        <v>85000</v>
      </c>
      <c r="E12" s="331">
        <v>125000</v>
      </c>
      <c r="F12" s="331"/>
      <c r="G12" s="335"/>
    </row>
    <row r="13" spans="1:7" ht="15">
      <c r="A13" s="334" t="s">
        <v>134</v>
      </c>
      <c r="B13" s="334"/>
      <c r="C13" s="334"/>
      <c r="D13" s="331">
        <v>85000</v>
      </c>
      <c r="E13" s="331">
        <v>125000</v>
      </c>
      <c r="F13" s="331"/>
      <c r="G13" s="335"/>
    </row>
    <row r="14" spans="1:7" ht="15" customHeight="1">
      <c r="A14" s="334" t="s">
        <v>138</v>
      </c>
      <c r="B14" s="334"/>
      <c r="C14" s="334"/>
      <c r="D14" s="331">
        <v>85000</v>
      </c>
      <c r="E14" s="331">
        <v>125000</v>
      </c>
      <c r="F14" s="331"/>
      <c r="G14" s="335"/>
    </row>
    <row r="15" spans="1:7" ht="15">
      <c r="A15" s="334" t="s">
        <v>140</v>
      </c>
      <c r="B15" s="334"/>
      <c r="C15" s="334"/>
      <c r="D15" s="331">
        <v>85000</v>
      </c>
      <c r="E15" s="331">
        <v>125000</v>
      </c>
      <c r="F15" s="331"/>
      <c r="G15" s="335"/>
    </row>
    <row r="16" spans="1:7" ht="15">
      <c r="A16" s="334" t="s">
        <v>144</v>
      </c>
      <c r="B16" s="334"/>
      <c r="C16" s="334"/>
      <c r="D16" s="331">
        <v>85000</v>
      </c>
      <c r="E16" s="331">
        <v>125000</v>
      </c>
      <c r="F16" s="331"/>
      <c r="G16" s="335"/>
    </row>
    <row r="17" spans="1:2" ht="15" customHeight="1">
      <c r="A17" s="48"/>
      <c r="B17" s="48"/>
    </row>
    <row r="18" spans="1:2" ht="15">
      <c r="A18" s="48" t="s">
        <v>595</v>
      </c>
      <c r="B18" s="48" t="s">
        <v>596</v>
      </c>
    </row>
    <row r="19" spans="1:7" ht="15" customHeight="1">
      <c r="A19" s="333" t="s">
        <v>150</v>
      </c>
      <c r="B19" s="333"/>
      <c r="C19" s="333"/>
      <c r="D19" s="333" t="s">
        <v>597</v>
      </c>
      <c r="E19" s="333" t="s">
        <v>598</v>
      </c>
      <c r="F19" s="333"/>
      <c r="G19" s="336" t="s">
        <v>599</v>
      </c>
    </row>
    <row r="20" spans="1:7" ht="15">
      <c r="A20" s="333"/>
      <c r="B20" s="333"/>
      <c r="C20" s="333"/>
      <c r="D20" s="333"/>
      <c r="E20" s="333"/>
      <c r="F20" s="333"/>
      <c r="G20" s="336"/>
    </row>
    <row r="21" spans="1:8" ht="15" customHeight="1">
      <c r="A21" s="334" t="s">
        <v>122</v>
      </c>
      <c r="B21" s="334"/>
      <c r="C21" s="334"/>
      <c r="D21" s="331" t="s">
        <v>600</v>
      </c>
      <c r="E21" s="337" t="s">
        <v>601</v>
      </c>
      <c r="F21" s="337"/>
      <c r="G21" s="331">
        <v>6</v>
      </c>
      <c r="H21" s="338" t="s">
        <v>602</v>
      </c>
    </row>
    <row r="22" spans="1:8" ht="15">
      <c r="A22" s="334" t="s">
        <v>126</v>
      </c>
      <c r="B22" s="334"/>
      <c r="C22" s="334"/>
      <c r="D22" s="331" t="s">
        <v>600</v>
      </c>
      <c r="E22" s="337"/>
      <c r="F22" s="337"/>
      <c r="G22" s="331">
        <v>6</v>
      </c>
      <c r="H22" s="338"/>
    </row>
    <row r="23" spans="1:8" ht="15">
      <c r="A23" s="334" t="s">
        <v>130</v>
      </c>
      <c r="B23" s="334"/>
      <c r="C23" s="334"/>
      <c r="D23" s="331" t="s">
        <v>603</v>
      </c>
      <c r="E23" s="337"/>
      <c r="F23" s="337"/>
      <c r="G23" s="331">
        <v>6</v>
      </c>
      <c r="H23" s="338"/>
    </row>
    <row r="24" spans="1:8" ht="15">
      <c r="A24" s="334" t="s">
        <v>134</v>
      </c>
      <c r="B24" s="334"/>
      <c r="C24" s="334"/>
      <c r="D24" s="339" t="s">
        <v>603</v>
      </c>
      <c r="E24" s="337"/>
      <c r="F24" s="337"/>
      <c r="G24" s="331">
        <v>6</v>
      </c>
      <c r="H24" s="338"/>
    </row>
    <row r="25" spans="1:8" ht="15">
      <c r="A25" s="334" t="s">
        <v>138</v>
      </c>
      <c r="B25" s="334"/>
      <c r="C25" s="334"/>
      <c r="D25" s="331" t="s">
        <v>604</v>
      </c>
      <c r="E25" s="337"/>
      <c r="F25" s="337"/>
      <c r="G25" s="331">
        <v>6</v>
      </c>
      <c r="H25" s="338"/>
    </row>
    <row r="26" spans="1:8" ht="15">
      <c r="A26" s="334" t="s">
        <v>140</v>
      </c>
      <c r="B26" s="334"/>
      <c r="C26" s="334"/>
      <c r="D26" s="331" t="s">
        <v>604</v>
      </c>
      <c r="E26" s="337"/>
      <c r="F26" s="337"/>
      <c r="G26" s="331">
        <v>10</v>
      </c>
      <c r="H26" s="338"/>
    </row>
    <row r="27" spans="1:8" ht="15">
      <c r="A27" s="334" t="s">
        <v>144</v>
      </c>
      <c r="B27" s="334"/>
      <c r="C27" s="334"/>
      <c r="D27" s="331" t="s">
        <v>604</v>
      </c>
      <c r="E27" s="337"/>
      <c r="F27" s="337"/>
      <c r="G27" s="331">
        <v>14</v>
      </c>
      <c r="H27" s="338"/>
    </row>
    <row r="29" spans="1:2" ht="15">
      <c r="A29" s="48" t="s">
        <v>605</v>
      </c>
      <c r="B29" s="48" t="s">
        <v>606</v>
      </c>
    </row>
    <row r="30" spans="1:6" ht="15" customHeight="1">
      <c r="A30" s="119" t="s">
        <v>150</v>
      </c>
      <c r="B30" s="119"/>
      <c r="C30" s="119"/>
      <c r="D30" s="340" t="s">
        <v>607</v>
      </c>
      <c r="E30" s="341" t="s">
        <v>608</v>
      </c>
      <c r="F30" s="341"/>
    </row>
    <row r="31" spans="1:6" ht="15">
      <c r="A31" s="119"/>
      <c r="B31" s="119"/>
      <c r="C31" s="119"/>
      <c r="D31" s="340"/>
      <c r="E31" s="341"/>
      <c r="F31" s="341"/>
    </row>
    <row r="32" spans="1:6" ht="15" customHeight="1">
      <c r="A32" s="134" t="s">
        <v>122</v>
      </c>
      <c r="B32" s="134"/>
      <c r="C32" s="134"/>
      <c r="D32" s="342">
        <v>2</v>
      </c>
      <c r="E32" s="343">
        <f>G21*D32*'2.1.c Insumos'!$F$22</f>
        <v>0</v>
      </c>
      <c r="F32" s="343"/>
    </row>
    <row r="33" spans="1:6" ht="15">
      <c r="A33" s="134" t="s">
        <v>126</v>
      </c>
      <c r="B33" s="134"/>
      <c r="C33" s="134"/>
      <c r="D33" s="342">
        <v>2</v>
      </c>
      <c r="E33" s="343">
        <f>G22*D33*'2.1.c Insumos'!$F$22</f>
        <v>0</v>
      </c>
      <c r="F33" s="343"/>
    </row>
    <row r="34" spans="1:6" ht="15" customHeight="1">
      <c r="A34" s="134" t="s">
        <v>130</v>
      </c>
      <c r="B34" s="134"/>
      <c r="C34" s="134"/>
      <c r="D34" s="342">
        <v>2</v>
      </c>
      <c r="E34" s="343">
        <f>G23*D34*'2.1.c Insumos'!$F$23</f>
        <v>7110</v>
      </c>
      <c r="F34" s="343"/>
    </row>
    <row r="35" spans="1:6" ht="15">
      <c r="A35" s="134" t="s">
        <v>134</v>
      </c>
      <c r="B35" s="134"/>
      <c r="C35" s="134"/>
      <c r="D35" s="342">
        <v>2</v>
      </c>
      <c r="E35" s="343">
        <f>G24*D35*'2.1.c Insumos'!$F$23</f>
        <v>7110</v>
      </c>
      <c r="F35" s="343"/>
    </row>
    <row r="36" spans="1:6" ht="15" customHeight="1">
      <c r="A36" s="134" t="s">
        <v>138</v>
      </c>
      <c r="B36" s="134"/>
      <c r="C36" s="134"/>
      <c r="D36" s="342">
        <v>2</v>
      </c>
      <c r="E36" s="343">
        <f>G25*D36*'2.1.c Insumos'!$F$24</f>
        <v>0</v>
      </c>
      <c r="F36" s="343"/>
    </row>
    <row r="37" spans="1:6" ht="15">
      <c r="A37" s="134" t="s">
        <v>140</v>
      </c>
      <c r="B37" s="134"/>
      <c r="C37" s="134"/>
      <c r="D37" s="342">
        <v>2</v>
      </c>
      <c r="E37" s="343">
        <f>G26*D37*'2.1.c Insumos'!$F$24</f>
        <v>0</v>
      </c>
      <c r="F37" s="343"/>
    </row>
    <row r="38" spans="1:6" ht="15">
      <c r="A38" s="134" t="s">
        <v>144</v>
      </c>
      <c r="B38" s="134"/>
      <c r="C38" s="134"/>
      <c r="D38" s="342">
        <v>2</v>
      </c>
      <c r="E38" s="343">
        <f>G27*D38*'2.1.c Insumos'!$F$24</f>
        <v>0</v>
      </c>
      <c r="F38" s="343"/>
    </row>
    <row r="40" spans="1:2" ht="15">
      <c r="A40" s="48" t="s">
        <v>609</v>
      </c>
      <c r="B40" s="48" t="s">
        <v>610</v>
      </c>
    </row>
    <row r="41" spans="1:4" ht="15" customHeight="1">
      <c r="A41" s="119" t="s">
        <v>150</v>
      </c>
      <c r="B41" s="119"/>
      <c r="C41" s="119"/>
      <c r="D41" s="341" t="s">
        <v>611</v>
      </c>
    </row>
    <row r="42" spans="1:13" ht="15" customHeight="1">
      <c r="A42" s="119"/>
      <c r="B42" s="119"/>
      <c r="C42" s="119"/>
      <c r="D42" s="341"/>
      <c r="J42" s="15" t="s">
        <v>16</v>
      </c>
      <c r="K42" s="15"/>
      <c r="L42" s="15"/>
      <c r="M42" s="15"/>
    </row>
    <row r="43" spans="1:13" ht="15" customHeight="1">
      <c r="A43" s="134" t="s">
        <v>122</v>
      </c>
      <c r="B43" s="134"/>
      <c r="C43" s="134"/>
      <c r="D43" s="343">
        <f>G21*'2.1.c Insumos'!$F$19</f>
        <v>0</v>
      </c>
      <c r="J43" s="17"/>
      <c r="K43" s="18"/>
      <c r="L43" s="18"/>
      <c r="M43" s="19"/>
    </row>
    <row r="44" spans="1:13" ht="15">
      <c r="A44" s="134" t="s">
        <v>126</v>
      </c>
      <c r="B44" s="134"/>
      <c r="C44" s="134"/>
      <c r="D44" s="343">
        <f>G22*'2.1.c Insumos'!$F$19</f>
        <v>0</v>
      </c>
      <c r="E44" s="49"/>
      <c r="J44" s="20"/>
      <c r="K44" s="21"/>
      <c r="L44" s="22" t="s">
        <v>18</v>
      </c>
      <c r="M44" s="23"/>
    </row>
    <row r="45" spans="1:13" ht="15">
      <c r="A45" s="134" t="s">
        <v>130</v>
      </c>
      <c r="B45" s="134"/>
      <c r="C45" s="134"/>
      <c r="D45" s="343">
        <f>G23*'2.1.c Insumos'!$F$20</f>
        <v>15084</v>
      </c>
      <c r="E45" s="49"/>
      <c r="J45" s="20"/>
      <c r="K45" s="27"/>
      <c r="L45" s="22" t="s">
        <v>20</v>
      </c>
      <c r="M45" s="23"/>
    </row>
    <row r="46" spans="1:13" ht="15">
      <c r="A46" s="134" t="s">
        <v>134</v>
      </c>
      <c r="B46" s="134"/>
      <c r="C46" s="134"/>
      <c r="D46" s="343">
        <f>G24*'2.1.c Insumos'!$F$20</f>
        <v>15084</v>
      </c>
      <c r="E46" s="49"/>
      <c r="J46" s="20"/>
      <c r="K46" s="28"/>
      <c r="L46" s="22" t="s">
        <v>22</v>
      </c>
      <c r="M46" s="23"/>
    </row>
    <row r="47" spans="1:13" ht="15.75">
      <c r="A47" s="134" t="s">
        <v>138</v>
      </c>
      <c r="B47" s="134"/>
      <c r="C47" s="134"/>
      <c r="D47" s="343">
        <f>G25*'2.1.c Insumos'!$F$21</f>
        <v>0</v>
      </c>
      <c r="E47" s="49"/>
      <c r="J47" s="29"/>
      <c r="K47" s="30"/>
      <c r="L47" s="30"/>
      <c r="M47" s="31"/>
    </row>
    <row r="48" spans="1:5" ht="15">
      <c r="A48" s="134" t="s">
        <v>140</v>
      </c>
      <c r="B48" s="134"/>
      <c r="C48" s="134"/>
      <c r="D48" s="343">
        <f>G26*'2.1.c Insumos'!$F$21</f>
        <v>0</v>
      </c>
      <c r="E48" s="49"/>
    </row>
    <row r="49" spans="1:5" ht="15">
      <c r="A49" s="134" t="s">
        <v>144</v>
      </c>
      <c r="B49" s="134"/>
      <c r="C49" s="134"/>
      <c r="D49" s="343">
        <f>G27*'2.1.c Insumos'!$F$21</f>
        <v>0</v>
      </c>
      <c r="E49" s="49"/>
    </row>
    <row r="51" spans="1:2" ht="15">
      <c r="A51" s="48" t="s">
        <v>612</v>
      </c>
      <c r="B51" s="48" t="s">
        <v>613</v>
      </c>
    </row>
    <row r="52" spans="1:6" ht="15" customHeight="1">
      <c r="A52" s="119" t="s">
        <v>150</v>
      </c>
      <c r="B52" s="119"/>
      <c r="C52" s="119"/>
      <c r="D52" s="340" t="s">
        <v>614</v>
      </c>
      <c r="E52" s="341" t="s">
        <v>615</v>
      </c>
      <c r="F52" s="341"/>
    </row>
    <row r="53" spans="1:6" ht="15" customHeight="1">
      <c r="A53" s="119"/>
      <c r="B53" s="119"/>
      <c r="C53" s="119"/>
      <c r="D53" s="340"/>
      <c r="E53" s="341"/>
      <c r="F53" s="341"/>
    </row>
    <row r="54" spans="1:6" ht="15" customHeight="1">
      <c r="A54" s="134" t="s">
        <v>122</v>
      </c>
      <c r="B54" s="134"/>
      <c r="C54" s="134"/>
      <c r="D54" s="344">
        <f aca="true" t="shared" si="0" ref="D54:D55">E10</f>
        <v>125000</v>
      </c>
      <c r="E54" s="343">
        <f>(E32+D43)*(SUM('1.3 Frota Total'!C19:F19))/D54</f>
        <v>0</v>
      </c>
      <c r="F54" s="343"/>
    </row>
    <row r="55" spans="1:7" ht="15">
      <c r="A55" s="134" t="s">
        <v>126</v>
      </c>
      <c r="B55" s="134"/>
      <c r="C55" s="134"/>
      <c r="D55" s="344">
        <f t="shared" si="0"/>
        <v>125000</v>
      </c>
      <c r="E55" s="343">
        <f>(E33+D44)*(SUM('1.3 Frota Total'!C20:F20))/D55</f>
        <v>0</v>
      </c>
      <c r="F55" s="343"/>
      <c r="G55" s="49"/>
    </row>
    <row r="56" spans="1:7" ht="15">
      <c r="A56" s="134" t="s">
        <v>130</v>
      </c>
      <c r="B56" s="134"/>
      <c r="C56" s="134"/>
      <c r="D56" s="344">
        <v>105000</v>
      </c>
      <c r="E56" s="343">
        <f>(E34+D45)*(SUM('1.3 Frota Total'!C21:F21))/D56</f>
        <v>0</v>
      </c>
      <c r="F56" s="343"/>
      <c r="G56" s="49"/>
    </row>
    <row r="57" spans="1:7" ht="15">
      <c r="A57" s="134" t="s">
        <v>134</v>
      </c>
      <c r="B57" s="134"/>
      <c r="C57" s="134"/>
      <c r="D57" s="344">
        <v>105000</v>
      </c>
      <c r="E57" s="343">
        <f>(E35+D46)*(SUM('1.3 Frota Total'!C22:F22))/D57</f>
        <v>2.9592</v>
      </c>
      <c r="F57" s="343"/>
      <c r="G57" s="49"/>
    </row>
    <row r="58" spans="1:7" ht="15">
      <c r="A58" s="134" t="s">
        <v>138</v>
      </c>
      <c r="B58" s="134"/>
      <c r="C58" s="134"/>
      <c r="D58" s="344">
        <f aca="true" t="shared" si="1" ref="D58:D60">E14</f>
        <v>125000</v>
      </c>
      <c r="E58" s="343">
        <f>(E36+D47)*(SUM('1.3 Frota Total'!C23:F23))/D58</f>
        <v>0</v>
      </c>
      <c r="F58" s="343"/>
      <c r="G58" s="49"/>
    </row>
    <row r="59" spans="1:7" ht="15">
      <c r="A59" s="134" t="s">
        <v>140</v>
      </c>
      <c r="B59" s="134"/>
      <c r="C59" s="134"/>
      <c r="D59" s="344">
        <f t="shared" si="1"/>
        <v>125000</v>
      </c>
      <c r="E59" s="343">
        <f>(E37+D48)*(SUM('1.3 Frota Total'!C24:F24))/D59</f>
        <v>0</v>
      </c>
      <c r="F59" s="343"/>
      <c r="G59" s="49"/>
    </row>
    <row r="60" spans="1:7" ht="15">
      <c r="A60" s="134" t="s">
        <v>144</v>
      </c>
      <c r="B60" s="134"/>
      <c r="C60" s="134"/>
      <c r="D60" s="344">
        <f t="shared" si="1"/>
        <v>125000</v>
      </c>
      <c r="E60" s="343">
        <f>(E38+D49)*(SUM('1.3 Frota Total'!C25:F25))/D60</f>
        <v>0</v>
      </c>
      <c r="F60" s="343"/>
      <c r="G60" s="49"/>
    </row>
  </sheetData>
  <sheetProtection selectLockedCells="1" selectUnlockedCells="1"/>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pageMargins left="0.7875" right="0.7875" top="0.9840277777777778" bottom="0.98402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47"/>
    <pageSetUpPr fitToPage="1"/>
  </sheetPr>
  <dimension ref="A1:Q114"/>
  <sheetViews>
    <sheetView workbookViewId="0" topLeftCell="A4">
      <selection activeCell="D10" sqref="D10"/>
    </sheetView>
  </sheetViews>
  <sheetFormatPr defaultColWidth="9.140625" defaultRowHeight="12.75"/>
  <cols>
    <col min="1" max="1" width="5.8515625" style="56" customWidth="1"/>
    <col min="2" max="2" width="28.28125" style="56" customWidth="1"/>
    <col min="3" max="3" width="13.28125" style="56" customWidth="1"/>
    <col min="4" max="4" width="7.00390625" style="56" customWidth="1"/>
    <col min="5" max="11" width="13.28125" style="56" customWidth="1"/>
    <col min="12" max="12" width="13.28125" style="57" customWidth="1"/>
    <col min="13" max="13" width="13.28125" style="56" customWidth="1"/>
    <col min="14" max="16" width="16.28125" style="57" customWidth="1"/>
    <col min="17" max="17" width="9.140625" style="57" customWidth="1"/>
    <col min="18" max="16384" width="11.57421875" style="57" hidden="1" customWidth="1"/>
  </cols>
  <sheetData>
    <row r="1" spans="1:12" ht="15.75">
      <c r="A1" s="13" t="s">
        <v>77</v>
      </c>
      <c r="B1" s="13"/>
      <c r="C1" s="13"/>
      <c r="D1" s="13"/>
      <c r="E1" s="13"/>
      <c r="F1" s="13"/>
      <c r="G1" s="13"/>
      <c r="H1" s="13"/>
      <c r="I1" s="13"/>
      <c r="J1" s="13"/>
      <c r="K1" s="13"/>
      <c r="L1" s="13"/>
    </row>
    <row r="2" spans="1:13" ht="15.75">
      <c r="A2" s="58"/>
      <c r="B2" s="58"/>
      <c r="C2" s="58"/>
      <c r="D2" s="58"/>
      <c r="E2" s="58"/>
      <c r="F2" s="58"/>
      <c r="G2" s="58"/>
      <c r="H2" s="58"/>
      <c r="I2" s="58"/>
      <c r="J2" s="58"/>
      <c r="K2" s="59" t="s">
        <v>16</v>
      </c>
      <c r="L2" s="59"/>
      <c r="M2" s="59"/>
    </row>
    <row r="3" spans="1:13" s="65" customFormat="1" ht="15" customHeight="1">
      <c r="A3" s="60" t="s">
        <v>78</v>
      </c>
      <c r="B3" s="61" t="s">
        <v>79</v>
      </c>
      <c r="C3" s="61"/>
      <c r="D3" s="62">
        <v>1</v>
      </c>
      <c r="E3" s="63"/>
      <c r="F3" s="64"/>
      <c r="G3" s="64"/>
      <c r="H3" s="64"/>
      <c r="I3" s="64"/>
      <c r="J3" s="64"/>
      <c r="K3" s="17"/>
      <c r="L3" s="18"/>
      <c r="M3" s="18"/>
    </row>
    <row r="4" spans="1:13" ht="15">
      <c r="A4" s="58"/>
      <c r="B4" s="58"/>
      <c r="C4" s="58"/>
      <c r="D4" s="58"/>
      <c r="E4" s="58"/>
      <c r="F4" s="58"/>
      <c r="G4" s="58"/>
      <c r="H4" s="58"/>
      <c r="I4" s="58"/>
      <c r="J4" s="58"/>
      <c r="K4" s="20"/>
      <c r="L4" s="21"/>
      <c r="M4" s="22" t="s">
        <v>18</v>
      </c>
    </row>
    <row r="5" spans="1:13" ht="15">
      <c r="A5" s="60" t="s">
        <v>80</v>
      </c>
      <c r="B5" s="58" t="s">
        <v>81</v>
      </c>
      <c r="C5" s="58"/>
      <c r="D5" s="58"/>
      <c r="E5" s="58"/>
      <c r="F5" s="58"/>
      <c r="G5" s="58"/>
      <c r="H5" s="58"/>
      <c r="I5" s="58"/>
      <c r="J5" s="58"/>
      <c r="K5" s="20"/>
      <c r="L5" s="27"/>
      <c r="M5" s="22" t="s">
        <v>20</v>
      </c>
    </row>
    <row r="6" spans="1:13" s="65" customFormat="1" ht="15">
      <c r="A6" s="60"/>
      <c r="B6" s="66" t="s">
        <v>82</v>
      </c>
      <c r="C6" s="66"/>
      <c r="D6" s="62" t="s">
        <v>83</v>
      </c>
      <c r="E6" s="58" t="s">
        <v>84</v>
      </c>
      <c r="F6" s="64"/>
      <c r="G6" s="64"/>
      <c r="H6" s="64"/>
      <c r="I6" s="64"/>
      <c r="J6" s="64"/>
      <c r="K6" s="20"/>
      <c r="L6" s="28"/>
      <c r="M6" s="22" t="s">
        <v>22</v>
      </c>
    </row>
    <row r="7" spans="1:13" s="65" customFormat="1" ht="15.75" customHeight="1">
      <c r="A7" s="60"/>
      <c r="B7" s="67" t="s">
        <v>41</v>
      </c>
      <c r="C7" s="67"/>
      <c r="D7" s="62"/>
      <c r="E7" s="58" t="s">
        <v>85</v>
      </c>
      <c r="F7" s="64"/>
      <c r="G7" s="64"/>
      <c r="H7" s="64"/>
      <c r="I7" s="64"/>
      <c r="J7" s="64"/>
      <c r="K7" s="29"/>
      <c r="L7" s="30"/>
      <c r="M7" s="30"/>
    </row>
    <row r="8" spans="1:12" ht="12.75">
      <c r="A8" s="58"/>
      <c r="B8" s="58"/>
      <c r="C8" s="58"/>
      <c r="D8" s="58"/>
      <c r="E8" s="58"/>
      <c r="F8" s="58"/>
      <c r="G8" s="58"/>
      <c r="H8" s="58"/>
      <c r="I8" s="58"/>
      <c r="J8" s="58"/>
      <c r="K8" s="58"/>
      <c r="L8" s="58"/>
    </row>
    <row r="9" spans="1:12" ht="12.75">
      <c r="A9" s="60" t="s">
        <v>86</v>
      </c>
      <c r="B9" s="58" t="s">
        <v>87</v>
      </c>
      <c r="C9" s="58"/>
      <c r="D9" s="58"/>
      <c r="E9" s="58"/>
      <c r="F9" s="58"/>
      <c r="G9" s="58"/>
      <c r="H9" s="58"/>
      <c r="I9" s="58"/>
      <c r="J9" s="58"/>
      <c r="K9" s="58"/>
      <c r="L9" s="58"/>
    </row>
    <row r="10" spans="1:12" ht="12.75">
      <c r="A10" s="58"/>
      <c r="B10" s="68" t="s">
        <v>88</v>
      </c>
      <c r="C10" s="68"/>
      <c r="D10" s="69">
        <v>43261</v>
      </c>
      <c r="E10" s="70"/>
      <c r="F10" s="58" t="s">
        <v>89</v>
      </c>
      <c r="G10" s="71"/>
      <c r="H10" s="58"/>
      <c r="I10" s="58"/>
      <c r="J10" s="58"/>
      <c r="K10" s="58"/>
      <c r="L10" s="58"/>
    </row>
    <row r="11" spans="1:12" ht="12.75">
      <c r="A11" s="58"/>
      <c r="B11" s="58"/>
      <c r="C11" s="58"/>
      <c r="D11" s="58"/>
      <c r="E11" s="58"/>
      <c r="F11" s="58"/>
      <c r="G11" s="58"/>
      <c r="H11" s="58"/>
      <c r="I11" s="58"/>
      <c r="J11" s="58"/>
      <c r="K11" s="58"/>
      <c r="L11" s="58"/>
    </row>
    <row r="12" spans="1:12" ht="12.75">
      <c r="A12" s="60" t="s">
        <v>90</v>
      </c>
      <c r="B12" s="58" t="s">
        <v>91</v>
      </c>
      <c r="C12" s="58"/>
      <c r="D12" s="58"/>
      <c r="E12" s="58"/>
      <c r="F12" s="58"/>
      <c r="G12" s="58"/>
      <c r="H12" s="58"/>
      <c r="I12" s="58"/>
      <c r="J12" s="58"/>
      <c r="K12" s="58"/>
      <c r="L12" s="58"/>
    </row>
    <row r="13" spans="1:17" s="65" customFormat="1" ht="32.25" customHeight="1">
      <c r="A13" s="72" t="s">
        <v>92</v>
      </c>
      <c r="B13" s="72" t="s">
        <v>93</v>
      </c>
      <c r="C13" s="72" t="s">
        <v>94</v>
      </c>
      <c r="D13" s="72"/>
      <c r="E13" s="72"/>
      <c r="F13" s="72"/>
      <c r="G13" s="72" t="s">
        <v>95</v>
      </c>
      <c r="H13" s="72"/>
      <c r="I13" s="72"/>
      <c r="J13" s="72" t="s">
        <v>96</v>
      </c>
      <c r="K13" s="72"/>
      <c r="L13" s="72"/>
      <c r="M13" s="56"/>
      <c r="N13" s="73" t="s">
        <v>97</v>
      </c>
      <c r="O13" s="73"/>
      <c r="P13" s="73"/>
      <c r="Q13" s="73"/>
    </row>
    <row r="14" spans="1:17" s="65" customFormat="1" ht="12.75" customHeight="1">
      <c r="A14" s="72"/>
      <c r="B14" s="72"/>
      <c r="C14" s="72" t="s">
        <v>98</v>
      </c>
      <c r="D14" s="72"/>
      <c r="E14" s="72"/>
      <c r="F14" s="72"/>
      <c r="G14" s="72" t="s">
        <v>99</v>
      </c>
      <c r="H14" s="72"/>
      <c r="I14" s="72"/>
      <c r="J14" s="72" t="s">
        <v>100</v>
      </c>
      <c r="K14" s="72"/>
      <c r="L14" s="72"/>
      <c r="M14" s="56"/>
      <c r="N14" s="74" t="s">
        <v>100</v>
      </c>
      <c r="O14" s="74"/>
      <c r="P14" s="74"/>
      <c r="Q14" s="74"/>
    </row>
    <row r="15" spans="1:17" s="65" customFormat="1" ht="25.5" customHeight="1">
      <c r="A15" s="72"/>
      <c r="B15" s="72"/>
      <c r="C15" s="72" t="s">
        <v>101</v>
      </c>
      <c r="D15" s="72"/>
      <c r="E15" s="72" t="s">
        <v>102</v>
      </c>
      <c r="F15" s="72" t="s">
        <v>103</v>
      </c>
      <c r="G15" s="75" t="s">
        <v>101</v>
      </c>
      <c r="H15" s="72" t="s">
        <v>102</v>
      </c>
      <c r="I15" s="72" t="s">
        <v>103</v>
      </c>
      <c r="J15" s="72" t="s">
        <v>101</v>
      </c>
      <c r="K15" s="72" t="s">
        <v>102</v>
      </c>
      <c r="L15" s="72" t="s">
        <v>103</v>
      </c>
      <c r="M15" s="56"/>
      <c r="N15" s="76" t="s">
        <v>101</v>
      </c>
      <c r="O15" s="76" t="s">
        <v>102</v>
      </c>
      <c r="P15" s="76" t="s">
        <v>103</v>
      </c>
      <c r="Q15" s="76" t="s">
        <v>104</v>
      </c>
    </row>
    <row r="16" spans="1:17" ht="12.75">
      <c r="A16" s="77">
        <v>1</v>
      </c>
      <c r="B16" s="78" t="s">
        <v>105</v>
      </c>
      <c r="C16" s="79">
        <v>19</v>
      </c>
      <c r="D16" s="79"/>
      <c r="E16" s="80">
        <v>4</v>
      </c>
      <c r="F16" s="80">
        <v>5</v>
      </c>
      <c r="G16" s="81">
        <v>12</v>
      </c>
      <c r="H16" s="80">
        <v>12</v>
      </c>
      <c r="I16" s="80">
        <v>6</v>
      </c>
      <c r="J16" s="80">
        <v>13.5</v>
      </c>
      <c r="K16" s="80">
        <v>13.5</v>
      </c>
      <c r="L16" s="80">
        <v>13.5</v>
      </c>
      <c r="N16" s="82">
        <f aca="true" t="shared" si="0" ref="N16:N111">((C16*G16*J16)/$D$3)+M16</f>
        <v>3078</v>
      </c>
      <c r="O16" s="82">
        <f aca="true" t="shared" si="1" ref="O16:O26">((E16*H16*K16)/$D$3)</f>
        <v>648</v>
      </c>
      <c r="P16" s="82">
        <f aca="true" t="shared" si="2" ref="P16:P26">((F16*I16*L16)/$D$3)</f>
        <v>405</v>
      </c>
      <c r="Q16" s="82">
        <f aca="true" t="shared" si="3" ref="Q16:Q26">SUM(N16:P16)</f>
        <v>4131</v>
      </c>
    </row>
    <row r="17" spans="1:17" ht="12.75">
      <c r="A17" s="77">
        <v>2</v>
      </c>
      <c r="B17" s="79" t="s">
        <v>106</v>
      </c>
      <c r="C17" s="79">
        <f>C16</f>
        <v>19</v>
      </c>
      <c r="D17" s="79"/>
      <c r="E17" s="80">
        <v>4</v>
      </c>
      <c r="F17" s="80">
        <f aca="true" t="shared" si="4" ref="F17:F26">F16</f>
        <v>5</v>
      </c>
      <c r="G17" s="81">
        <v>14</v>
      </c>
      <c r="H17" s="80">
        <v>14</v>
      </c>
      <c r="I17" s="80">
        <v>3</v>
      </c>
      <c r="J17" s="80">
        <v>12</v>
      </c>
      <c r="K17" s="80">
        <v>12</v>
      </c>
      <c r="L17" s="80">
        <v>12</v>
      </c>
      <c r="N17" s="82">
        <f t="shared" si="0"/>
        <v>3192</v>
      </c>
      <c r="O17" s="82">
        <f t="shared" si="1"/>
        <v>672</v>
      </c>
      <c r="P17" s="82">
        <f t="shared" si="2"/>
        <v>180</v>
      </c>
      <c r="Q17" s="82">
        <f t="shared" si="3"/>
        <v>4044</v>
      </c>
    </row>
    <row r="18" spans="1:17" ht="12.75">
      <c r="A18" s="77">
        <v>3</v>
      </c>
      <c r="B18" s="79" t="s">
        <v>107</v>
      </c>
      <c r="C18" s="79">
        <f aca="true" t="shared" si="5" ref="C18:C19">C16</f>
        <v>19</v>
      </c>
      <c r="D18" s="79"/>
      <c r="E18" s="80">
        <v>4</v>
      </c>
      <c r="F18" s="80">
        <f t="shared" si="4"/>
        <v>5</v>
      </c>
      <c r="G18" s="81">
        <v>27</v>
      </c>
      <c r="H18" s="80">
        <v>27</v>
      </c>
      <c r="I18" s="80">
        <v>12</v>
      </c>
      <c r="J18" s="80">
        <v>11.4</v>
      </c>
      <c r="K18" s="80">
        <v>11.4</v>
      </c>
      <c r="L18" s="80">
        <v>11.4</v>
      </c>
      <c r="N18" s="82">
        <f t="shared" si="0"/>
        <v>5848.2</v>
      </c>
      <c r="O18" s="82">
        <f t="shared" si="1"/>
        <v>1231.2</v>
      </c>
      <c r="P18" s="82">
        <f t="shared" si="2"/>
        <v>684</v>
      </c>
      <c r="Q18" s="82">
        <f t="shared" si="3"/>
        <v>7763.4</v>
      </c>
    </row>
    <row r="19" spans="1:17" ht="12.75">
      <c r="A19" s="77">
        <v>4</v>
      </c>
      <c r="B19" s="79" t="s">
        <v>108</v>
      </c>
      <c r="C19" s="79">
        <f t="shared" si="5"/>
        <v>19</v>
      </c>
      <c r="D19" s="79"/>
      <c r="E19" s="80">
        <v>4</v>
      </c>
      <c r="F19" s="80">
        <f t="shared" si="4"/>
        <v>5</v>
      </c>
      <c r="G19" s="81">
        <v>9</v>
      </c>
      <c r="H19" s="80">
        <v>9</v>
      </c>
      <c r="I19" s="80">
        <v>0</v>
      </c>
      <c r="J19" s="80">
        <v>11.4</v>
      </c>
      <c r="K19" s="80">
        <v>11.4</v>
      </c>
      <c r="L19" s="80">
        <v>11.4</v>
      </c>
      <c r="N19" s="82">
        <f t="shared" si="0"/>
        <v>1949.4</v>
      </c>
      <c r="O19" s="82">
        <f t="shared" si="1"/>
        <v>410.40000000000003</v>
      </c>
      <c r="P19" s="82">
        <f t="shared" si="2"/>
        <v>0</v>
      </c>
      <c r="Q19" s="82">
        <f t="shared" si="3"/>
        <v>2359.8</v>
      </c>
    </row>
    <row r="20" spans="1:17" ht="12.75">
      <c r="A20" s="77">
        <v>5</v>
      </c>
      <c r="B20" s="79" t="s">
        <v>109</v>
      </c>
      <c r="C20" s="79">
        <f>C19</f>
        <v>19</v>
      </c>
      <c r="D20" s="79"/>
      <c r="E20" s="80">
        <v>4</v>
      </c>
      <c r="F20" s="80">
        <f t="shared" si="4"/>
        <v>5</v>
      </c>
      <c r="G20" s="81">
        <v>11</v>
      </c>
      <c r="H20" s="80">
        <v>11</v>
      </c>
      <c r="I20" s="80">
        <v>6</v>
      </c>
      <c r="J20" s="80">
        <v>10</v>
      </c>
      <c r="K20" s="80">
        <v>10</v>
      </c>
      <c r="L20" s="80">
        <v>10</v>
      </c>
      <c r="N20" s="82">
        <f t="shared" si="0"/>
        <v>2090</v>
      </c>
      <c r="O20" s="82">
        <f t="shared" si="1"/>
        <v>440</v>
      </c>
      <c r="P20" s="82">
        <f t="shared" si="2"/>
        <v>300</v>
      </c>
      <c r="Q20" s="82">
        <f t="shared" si="3"/>
        <v>2830</v>
      </c>
    </row>
    <row r="21" spans="1:17" ht="12.75">
      <c r="A21" s="77">
        <v>6</v>
      </c>
      <c r="B21" s="79" t="s">
        <v>110</v>
      </c>
      <c r="C21" s="79">
        <f aca="true" t="shared" si="6" ref="C21:C25">C19</f>
        <v>19</v>
      </c>
      <c r="D21" s="79"/>
      <c r="E21" s="80">
        <v>4</v>
      </c>
      <c r="F21" s="80">
        <f t="shared" si="4"/>
        <v>5</v>
      </c>
      <c r="G21" s="81">
        <v>9</v>
      </c>
      <c r="H21" s="80">
        <v>9</v>
      </c>
      <c r="I21" s="80">
        <v>0</v>
      </c>
      <c r="J21" s="80">
        <v>7</v>
      </c>
      <c r="K21" s="80">
        <v>7</v>
      </c>
      <c r="L21" s="80">
        <v>7</v>
      </c>
      <c r="N21" s="82">
        <f t="shared" si="0"/>
        <v>1197</v>
      </c>
      <c r="O21" s="82">
        <f t="shared" si="1"/>
        <v>252</v>
      </c>
      <c r="P21" s="82">
        <f t="shared" si="2"/>
        <v>0</v>
      </c>
      <c r="Q21" s="82">
        <f t="shared" si="3"/>
        <v>1449</v>
      </c>
    </row>
    <row r="22" spans="1:17" ht="12.75">
      <c r="A22" s="77">
        <v>7</v>
      </c>
      <c r="B22" s="79" t="s">
        <v>111</v>
      </c>
      <c r="C22" s="79">
        <f t="shared" si="6"/>
        <v>19</v>
      </c>
      <c r="D22" s="79"/>
      <c r="E22" s="80">
        <v>4</v>
      </c>
      <c r="F22" s="80">
        <f t="shared" si="4"/>
        <v>5</v>
      </c>
      <c r="G22" s="81">
        <v>17</v>
      </c>
      <c r="H22" s="80">
        <v>17</v>
      </c>
      <c r="I22" s="80">
        <v>6</v>
      </c>
      <c r="J22" s="80">
        <v>15</v>
      </c>
      <c r="K22" s="80">
        <v>15</v>
      </c>
      <c r="L22" s="80">
        <v>15</v>
      </c>
      <c r="N22" s="82">
        <f t="shared" si="0"/>
        <v>4845</v>
      </c>
      <c r="O22" s="82">
        <f t="shared" si="1"/>
        <v>1020</v>
      </c>
      <c r="P22" s="82">
        <f t="shared" si="2"/>
        <v>450</v>
      </c>
      <c r="Q22" s="82">
        <f t="shared" si="3"/>
        <v>6315</v>
      </c>
    </row>
    <row r="23" spans="1:17" ht="12.75">
      <c r="A23" s="77">
        <v>8</v>
      </c>
      <c r="B23" s="79" t="s">
        <v>112</v>
      </c>
      <c r="C23" s="79">
        <f t="shared" si="6"/>
        <v>19</v>
      </c>
      <c r="D23" s="79"/>
      <c r="E23" s="80">
        <v>4</v>
      </c>
      <c r="F23" s="80">
        <f t="shared" si="4"/>
        <v>5</v>
      </c>
      <c r="G23" s="81">
        <v>18</v>
      </c>
      <c r="H23" s="80">
        <v>18</v>
      </c>
      <c r="I23" s="80">
        <v>6</v>
      </c>
      <c r="J23" s="80">
        <v>11</v>
      </c>
      <c r="K23" s="80">
        <v>11</v>
      </c>
      <c r="L23" s="80">
        <v>11</v>
      </c>
      <c r="N23" s="82">
        <f t="shared" si="0"/>
        <v>3762</v>
      </c>
      <c r="O23" s="82">
        <f t="shared" si="1"/>
        <v>792</v>
      </c>
      <c r="P23" s="82">
        <f t="shared" si="2"/>
        <v>330</v>
      </c>
      <c r="Q23" s="82">
        <f t="shared" si="3"/>
        <v>4884</v>
      </c>
    </row>
    <row r="24" spans="1:17" ht="12.75">
      <c r="A24" s="77">
        <v>9</v>
      </c>
      <c r="B24" s="79" t="s">
        <v>113</v>
      </c>
      <c r="C24" s="79">
        <f t="shared" si="6"/>
        <v>19</v>
      </c>
      <c r="D24" s="79"/>
      <c r="E24" s="80">
        <v>4</v>
      </c>
      <c r="F24" s="80">
        <f t="shared" si="4"/>
        <v>5</v>
      </c>
      <c r="G24" s="81">
        <v>18</v>
      </c>
      <c r="H24" s="80">
        <v>18</v>
      </c>
      <c r="I24" s="80">
        <v>6</v>
      </c>
      <c r="J24" s="80">
        <v>9.1</v>
      </c>
      <c r="K24" s="80">
        <v>9.1</v>
      </c>
      <c r="L24" s="80">
        <v>9.1</v>
      </c>
      <c r="N24" s="82">
        <f t="shared" si="0"/>
        <v>3112.2</v>
      </c>
      <c r="O24" s="82">
        <f t="shared" si="1"/>
        <v>655.1999999999999</v>
      </c>
      <c r="P24" s="82">
        <f t="shared" si="2"/>
        <v>273</v>
      </c>
      <c r="Q24" s="82">
        <f t="shared" si="3"/>
        <v>4040.3999999999996</v>
      </c>
    </row>
    <row r="25" spans="1:17" ht="12.75">
      <c r="A25" s="77">
        <v>10</v>
      </c>
      <c r="B25" s="79" t="s">
        <v>114</v>
      </c>
      <c r="C25" s="79">
        <f t="shared" si="6"/>
        <v>19</v>
      </c>
      <c r="D25" s="79"/>
      <c r="E25" s="80">
        <v>4</v>
      </c>
      <c r="F25" s="80">
        <f t="shared" si="4"/>
        <v>5</v>
      </c>
      <c r="G25" s="81">
        <v>8</v>
      </c>
      <c r="H25" s="80">
        <v>8</v>
      </c>
      <c r="I25" s="80">
        <v>3</v>
      </c>
      <c r="J25" s="80">
        <v>30</v>
      </c>
      <c r="K25" s="80">
        <v>30</v>
      </c>
      <c r="L25" s="80">
        <v>30</v>
      </c>
      <c r="N25" s="82">
        <f t="shared" si="0"/>
        <v>4560</v>
      </c>
      <c r="O25" s="82">
        <f t="shared" si="1"/>
        <v>960</v>
      </c>
      <c r="P25" s="82">
        <f t="shared" si="2"/>
        <v>450</v>
      </c>
      <c r="Q25" s="82">
        <f t="shared" si="3"/>
        <v>5970</v>
      </c>
    </row>
    <row r="26" spans="1:17" ht="12.75">
      <c r="A26" s="77">
        <v>11</v>
      </c>
      <c r="B26" s="77" t="s">
        <v>115</v>
      </c>
      <c r="C26" s="79">
        <v>9</v>
      </c>
      <c r="D26" s="79"/>
      <c r="E26" s="80">
        <v>0</v>
      </c>
      <c r="F26" s="80">
        <f t="shared" si="4"/>
        <v>5</v>
      </c>
      <c r="G26" s="83">
        <v>2</v>
      </c>
      <c r="H26" s="77">
        <v>0</v>
      </c>
      <c r="I26" s="77">
        <v>0</v>
      </c>
      <c r="J26" s="77">
        <v>14</v>
      </c>
      <c r="K26" s="77">
        <v>0</v>
      </c>
      <c r="L26" s="77">
        <v>0</v>
      </c>
      <c r="N26" s="82">
        <f t="shared" si="0"/>
        <v>252</v>
      </c>
      <c r="O26" s="82">
        <f t="shared" si="1"/>
        <v>0</v>
      </c>
      <c r="P26" s="82">
        <f t="shared" si="2"/>
        <v>0</v>
      </c>
      <c r="Q26" s="82">
        <f t="shared" si="3"/>
        <v>252</v>
      </c>
    </row>
    <row r="27" spans="1:17" ht="12.75" hidden="1">
      <c r="A27" s="77">
        <v>16</v>
      </c>
      <c r="B27" s="77"/>
      <c r="C27" s="77"/>
      <c r="D27" s="77"/>
      <c r="E27" s="77"/>
      <c r="F27" s="77"/>
      <c r="G27" s="83"/>
      <c r="H27" s="77"/>
      <c r="I27" s="77"/>
      <c r="J27" s="77"/>
      <c r="K27" s="77"/>
      <c r="L27" s="77"/>
      <c r="N27" s="82">
        <f t="shared" si="0"/>
        <v>0</v>
      </c>
      <c r="O27" s="82" t="e">
        <f>((E27*H27*K27)/$D$3)+#REF!</f>
        <v>#VALUE!</v>
      </c>
      <c r="P27" s="82" t="e">
        <f>((F27*I27*L27)/$D$3)+#REF!</f>
        <v>#VALUE!</v>
      </c>
      <c r="Q27" s="82"/>
    </row>
    <row r="28" spans="1:17" ht="12.75" hidden="1">
      <c r="A28" s="77">
        <v>17</v>
      </c>
      <c r="B28" s="77"/>
      <c r="C28" s="77"/>
      <c r="D28" s="77"/>
      <c r="E28" s="77"/>
      <c r="F28" s="77"/>
      <c r="G28" s="83"/>
      <c r="H28" s="77"/>
      <c r="I28" s="77"/>
      <c r="J28" s="77"/>
      <c r="K28" s="77"/>
      <c r="L28" s="77"/>
      <c r="N28" s="82">
        <f t="shared" si="0"/>
        <v>0</v>
      </c>
      <c r="O28" s="82" t="e">
        <f>((E28*H28*K28)/$D$3)+#REF!</f>
        <v>#VALUE!</v>
      </c>
      <c r="P28" s="82" t="e">
        <f>((F28*I28*L28)/$D$3)+#REF!</f>
        <v>#VALUE!</v>
      </c>
      <c r="Q28" s="82"/>
    </row>
    <row r="29" spans="1:17" ht="12.75" hidden="1">
      <c r="A29" s="77">
        <v>18</v>
      </c>
      <c r="B29" s="77"/>
      <c r="C29" s="77"/>
      <c r="D29" s="77"/>
      <c r="E29" s="77"/>
      <c r="F29" s="77"/>
      <c r="G29" s="83"/>
      <c r="H29" s="77"/>
      <c r="I29" s="77"/>
      <c r="J29" s="77"/>
      <c r="K29" s="77"/>
      <c r="L29" s="77"/>
      <c r="N29" s="82">
        <f t="shared" si="0"/>
        <v>0</v>
      </c>
      <c r="O29" s="82" t="e">
        <f>((E29*H29*K29)/$D$3)+#REF!</f>
        <v>#VALUE!</v>
      </c>
      <c r="P29" s="82" t="e">
        <f>((F29*I29*L29)/$D$3)+#REF!</f>
        <v>#VALUE!</v>
      </c>
      <c r="Q29" s="82"/>
    </row>
    <row r="30" spans="1:17" ht="12.75" hidden="1">
      <c r="A30" s="77">
        <v>19</v>
      </c>
      <c r="B30" s="77"/>
      <c r="C30" s="77"/>
      <c r="D30" s="77"/>
      <c r="E30" s="77"/>
      <c r="F30" s="77"/>
      <c r="G30" s="83"/>
      <c r="H30" s="77"/>
      <c r="I30" s="77"/>
      <c r="J30" s="77"/>
      <c r="K30" s="77"/>
      <c r="L30" s="77"/>
      <c r="N30" s="82">
        <f t="shared" si="0"/>
        <v>0</v>
      </c>
      <c r="O30" s="82" t="e">
        <f>((E30*H30*K30)/$D$3)+#REF!</f>
        <v>#VALUE!</v>
      </c>
      <c r="P30" s="82" t="e">
        <f>((F30*I30*L30)/$D$3)+#REF!</f>
        <v>#VALUE!</v>
      </c>
      <c r="Q30" s="82"/>
    </row>
    <row r="31" spans="1:17" ht="12.75" hidden="1">
      <c r="A31" s="77">
        <v>20</v>
      </c>
      <c r="B31" s="77"/>
      <c r="C31" s="77"/>
      <c r="D31" s="77"/>
      <c r="E31" s="77"/>
      <c r="F31" s="77"/>
      <c r="G31" s="83"/>
      <c r="H31" s="77"/>
      <c r="I31" s="77"/>
      <c r="J31" s="77"/>
      <c r="K31" s="77"/>
      <c r="L31" s="77"/>
      <c r="N31" s="82">
        <f t="shared" si="0"/>
        <v>0</v>
      </c>
      <c r="O31" s="82" t="e">
        <f>((E31*H31*K31)/$D$3)+#REF!</f>
        <v>#VALUE!</v>
      </c>
      <c r="P31" s="82" t="e">
        <f>((F31*I31*L31)/$D$3)+#REF!</f>
        <v>#VALUE!</v>
      </c>
      <c r="Q31" s="82"/>
    </row>
    <row r="32" spans="1:17" ht="12.75" hidden="1">
      <c r="A32" s="77">
        <v>21</v>
      </c>
      <c r="B32" s="77"/>
      <c r="C32" s="77"/>
      <c r="D32" s="77"/>
      <c r="E32" s="77"/>
      <c r="F32" s="77"/>
      <c r="G32" s="83"/>
      <c r="H32" s="77"/>
      <c r="I32" s="77"/>
      <c r="J32" s="77"/>
      <c r="K32" s="77"/>
      <c r="L32" s="77"/>
      <c r="N32" s="82">
        <f t="shared" si="0"/>
        <v>0</v>
      </c>
      <c r="O32" s="82" t="e">
        <f>((E32*H32*K32)/$D$3)+#REF!</f>
        <v>#VALUE!</v>
      </c>
      <c r="P32" s="82" t="e">
        <f>((F32*I32*L32)/$D$3)+#REF!</f>
        <v>#VALUE!</v>
      </c>
      <c r="Q32" s="82"/>
    </row>
    <row r="33" spans="1:17" ht="12.75" hidden="1">
      <c r="A33" s="77">
        <v>22</v>
      </c>
      <c r="B33" s="77"/>
      <c r="C33" s="77"/>
      <c r="D33" s="77"/>
      <c r="E33" s="77"/>
      <c r="F33" s="77"/>
      <c r="G33" s="83"/>
      <c r="H33" s="77"/>
      <c r="I33" s="77"/>
      <c r="J33" s="77"/>
      <c r="K33" s="77"/>
      <c r="L33" s="77"/>
      <c r="N33" s="82">
        <f t="shared" si="0"/>
        <v>0</v>
      </c>
      <c r="O33" s="82" t="e">
        <f>((E33*H33*K33)/$D$3)+#REF!</f>
        <v>#VALUE!</v>
      </c>
      <c r="P33" s="82" t="e">
        <f>((F33*I33*L33)/$D$3)+#REF!</f>
        <v>#VALUE!</v>
      </c>
      <c r="Q33" s="82"/>
    </row>
    <row r="34" spans="1:17" ht="12.75" hidden="1">
      <c r="A34" s="77">
        <v>23</v>
      </c>
      <c r="B34" s="77"/>
      <c r="C34" s="77"/>
      <c r="D34" s="77"/>
      <c r="E34" s="77"/>
      <c r="F34" s="77"/>
      <c r="G34" s="83"/>
      <c r="H34" s="77"/>
      <c r="I34" s="77"/>
      <c r="J34" s="77"/>
      <c r="K34" s="77"/>
      <c r="L34" s="77"/>
      <c r="N34" s="82">
        <f t="shared" si="0"/>
        <v>0</v>
      </c>
      <c r="O34" s="82" t="e">
        <f>((E34*H34*K34)/$D$3)+#REF!</f>
        <v>#VALUE!</v>
      </c>
      <c r="P34" s="82" t="e">
        <f>((F34*I34*L34)/$D$3)+#REF!</f>
        <v>#VALUE!</v>
      </c>
      <c r="Q34" s="82"/>
    </row>
    <row r="35" spans="1:17" ht="12.75" hidden="1">
      <c r="A35" s="77">
        <v>24</v>
      </c>
      <c r="B35" s="77"/>
      <c r="C35" s="77"/>
      <c r="D35" s="77"/>
      <c r="E35" s="77"/>
      <c r="F35" s="77"/>
      <c r="G35" s="83"/>
      <c r="H35" s="77"/>
      <c r="I35" s="77"/>
      <c r="J35" s="77"/>
      <c r="K35" s="77"/>
      <c r="L35" s="77"/>
      <c r="N35" s="82">
        <f t="shared" si="0"/>
        <v>0</v>
      </c>
      <c r="O35" s="82" t="e">
        <f>((E35*H35*K35)/$D$3)+#REF!</f>
        <v>#VALUE!</v>
      </c>
      <c r="P35" s="82" t="e">
        <f>((F35*I35*L35)/$D$3)+#REF!</f>
        <v>#VALUE!</v>
      </c>
      <c r="Q35" s="82"/>
    </row>
    <row r="36" spans="1:17" ht="12.75" hidden="1">
      <c r="A36" s="77">
        <v>25</v>
      </c>
      <c r="B36" s="77"/>
      <c r="C36" s="77"/>
      <c r="D36" s="77"/>
      <c r="E36" s="77"/>
      <c r="F36" s="77"/>
      <c r="G36" s="83"/>
      <c r="H36" s="77"/>
      <c r="I36" s="77"/>
      <c r="J36" s="77"/>
      <c r="K36" s="77"/>
      <c r="L36" s="77"/>
      <c r="N36" s="82">
        <f t="shared" si="0"/>
        <v>0</v>
      </c>
      <c r="O36" s="82" t="e">
        <f>((E36*H36*K36)/$D$3)+#REF!</f>
        <v>#VALUE!</v>
      </c>
      <c r="P36" s="82" t="e">
        <f>((F36*I36*L36)/$D$3)+#REF!</f>
        <v>#VALUE!</v>
      </c>
      <c r="Q36" s="82"/>
    </row>
    <row r="37" spans="1:17" ht="12.75" hidden="1">
      <c r="A37" s="77">
        <v>26</v>
      </c>
      <c r="B37" s="77"/>
      <c r="C37" s="77"/>
      <c r="D37" s="77"/>
      <c r="E37" s="77"/>
      <c r="F37" s="77"/>
      <c r="G37" s="83"/>
      <c r="H37" s="77"/>
      <c r="I37" s="77"/>
      <c r="J37" s="77"/>
      <c r="K37" s="77"/>
      <c r="L37" s="77"/>
      <c r="N37" s="82">
        <f t="shared" si="0"/>
        <v>0</v>
      </c>
      <c r="O37" s="82" t="e">
        <f>((E37*H37*K37)/$D$3)+#REF!</f>
        <v>#VALUE!</v>
      </c>
      <c r="P37" s="82" t="e">
        <f>((F37*I37*L37)/$D$3)+#REF!</f>
        <v>#VALUE!</v>
      </c>
      <c r="Q37" s="82"/>
    </row>
    <row r="38" spans="1:17" ht="12.75" hidden="1">
      <c r="A38" s="77">
        <v>27</v>
      </c>
      <c r="B38" s="77"/>
      <c r="C38" s="77"/>
      <c r="D38" s="77"/>
      <c r="E38" s="77"/>
      <c r="F38" s="77"/>
      <c r="G38" s="83"/>
      <c r="H38" s="77"/>
      <c r="I38" s="77"/>
      <c r="J38" s="77"/>
      <c r="K38" s="77"/>
      <c r="L38" s="77"/>
      <c r="N38" s="82">
        <f t="shared" si="0"/>
        <v>0</v>
      </c>
      <c r="O38" s="82" t="e">
        <f>((E38*H38*K38)/$D$3)+#REF!</f>
        <v>#VALUE!</v>
      </c>
      <c r="P38" s="82" t="e">
        <f>((F38*I38*L38)/$D$3)+#REF!</f>
        <v>#VALUE!</v>
      </c>
      <c r="Q38" s="82"/>
    </row>
    <row r="39" spans="1:17" ht="12.75" hidden="1">
      <c r="A39" s="77">
        <v>28</v>
      </c>
      <c r="B39" s="77"/>
      <c r="C39" s="77"/>
      <c r="D39" s="77"/>
      <c r="E39" s="77"/>
      <c r="F39" s="77"/>
      <c r="G39" s="83"/>
      <c r="H39" s="77"/>
      <c r="I39" s="77"/>
      <c r="J39" s="77"/>
      <c r="K39" s="77"/>
      <c r="L39" s="77"/>
      <c r="N39" s="82">
        <f t="shared" si="0"/>
        <v>0</v>
      </c>
      <c r="O39" s="82" t="e">
        <f>((E39*H39*K39)/$D$3)+#REF!</f>
        <v>#VALUE!</v>
      </c>
      <c r="P39" s="82" t="e">
        <f>((F39*I39*L39)/$D$3)+#REF!</f>
        <v>#VALUE!</v>
      </c>
      <c r="Q39" s="82"/>
    </row>
    <row r="40" spans="1:17" ht="12.75" hidden="1">
      <c r="A40" s="77">
        <v>29</v>
      </c>
      <c r="B40" s="77"/>
      <c r="C40" s="77"/>
      <c r="D40" s="77"/>
      <c r="E40" s="77"/>
      <c r="F40" s="77"/>
      <c r="G40" s="83"/>
      <c r="H40" s="77"/>
      <c r="I40" s="77"/>
      <c r="J40" s="77"/>
      <c r="K40" s="77"/>
      <c r="L40" s="77"/>
      <c r="N40" s="82">
        <f t="shared" si="0"/>
        <v>0</v>
      </c>
      <c r="O40" s="82" t="e">
        <f>((E40*H40*K40)/$D$3)+#REF!</f>
        <v>#VALUE!</v>
      </c>
      <c r="P40" s="82" t="e">
        <f>((F40*I40*L40)/$D$3)+#REF!</f>
        <v>#VALUE!</v>
      </c>
      <c r="Q40" s="82"/>
    </row>
    <row r="41" spans="1:17" ht="12.75" hidden="1">
      <c r="A41" s="77">
        <v>30</v>
      </c>
      <c r="B41" s="77"/>
      <c r="C41" s="77"/>
      <c r="D41" s="77"/>
      <c r="E41" s="77"/>
      <c r="F41" s="77"/>
      <c r="G41" s="83"/>
      <c r="H41" s="77"/>
      <c r="I41" s="77"/>
      <c r="J41" s="77"/>
      <c r="K41" s="77"/>
      <c r="L41" s="77"/>
      <c r="N41" s="82">
        <f t="shared" si="0"/>
        <v>0</v>
      </c>
      <c r="O41" s="82" t="e">
        <f>((E41*H41*K41)/$D$3)+#REF!</f>
        <v>#VALUE!</v>
      </c>
      <c r="P41" s="82" t="e">
        <f>((F41*I41*L41)/$D$3)+#REF!</f>
        <v>#VALUE!</v>
      </c>
      <c r="Q41" s="82"/>
    </row>
    <row r="42" spans="1:17" ht="12.75" hidden="1">
      <c r="A42" s="77">
        <v>31</v>
      </c>
      <c r="B42" s="77"/>
      <c r="C42" s="77"/>
      <c r="D42" s="77"/>
      <c r="E42" s="77"/>
      <c r="F42" s="77"/>
      <c r="G42" s="83"/>
      <c r="H42" s="77"/>
      <c r="I42" s="77"/>
      <c r="J42" s="77"/>
      <c r="K42" s="77"/>
      <c r="L42" s="77"/>
      <c r="N42" s="82">
        <f t="shared" si="0"/>
        <v>0</v>
      </c>
      <c r="O42" s="82" t="e">
        <f>((E42*H42*K42)/$D$3)+#REF!</f>
        <v>#VALUE!</v>
      </c>
      <c r="P42" s="82" t="e">
        <f>((F42*I42*L42)/$D$3)+#REF!</f>
        <v>#VALUE!</v>
      </c>
      <c r="Q42" s="82"/>
    </row>
    <row r="43" spans="1:17" ht="12.75" hidden="1">
      <c r="A43" s="77">
        <v>32</v>
      </c>
      <c r="B43" s="77"/>
      <c r="C43" s="77"/>
      <c r="D43" s="77"/>
      <c r="E43" s="77"/>
      <c r="F43" s="77"/>
      <c r="G43" s="83"/>
      <c r="H43" s="77"/>
      <c r="I43" s="77"/>
      <c r="J43" s="77"/>
      <c r="K43" s="77"/>
      <c r="L43" s="77"/>
      <c r="N43" s="82">
        <f t="shared" si="0"/>
        <v>0</v>
      </c>
      <c r="O43" s="82" t="e">
        <f>((E43*H43*K43)/$D$3)+#REF!</f>
        <v>#VALUE!</v>
      </c>
      <c r="P43" s="82" t="e">
        <f>((F43*I43*L43)/$D$3)+#REF!</f>
        <v>#VALUE!</v>
      </c>
      <c r="Q43" s="82"/>
    </row>
    <row r="44" spans="1:17" ht="12.75" hidden="1">
      <c r="A44" s="77">
        <v>33</v>
      </c>
      <c r="B44" s="77"/>
      <c r="C44" s="77"/>
      <c r="D44" s="77"/>
      <c r="E44" s="77"/>
      <c r="F44" s="77"/>
      <c r="G44" s="83"/>
      <c r="H44" s="77"/>
      <c r="I44" s="77"/>
      <c r="J44" s="77"/>
      <c r="K44" s="77"/>
      <c r="L44" s="77"/>
      <c r="N44" s="82">
        <f t="shared" si="0"/>
        <v>0</v>
      </c>
      <c r="O44" s="82" t="e">
        <f>((E44*H44*K44)/$D$3)+#REF!</f>
        <v>#VALUE!</v>
      </c>
      <c r="P44" s="82" t="e">
        <f>((F44*I44*L44)/$D$3)+#REF!</f>
        <v>#VALUE!</v>
      </c>
      <c r="Q44" s="82"/>
    </row>
    <row r="45" spans="1:17" ht="12.75" hidden="1">
      <c r="A45" s="77">
        <v>34</v>
      </c>
      <c r="B45" s="77"/>
      <c r="C45" s="77"/>
      <c r="D45" s="77"/>
      <c r="E45" s="77"/>
      <c r="F45" s="77"/>
      <c r="G45" s="83"/>
      <c r="H45" s="77"/>
      <c r="I45" s="77"/>
      <c r="J45" s="77"/>
      <c r="K45" s="77"/>
      <c r="L45" s="77"/>
      <c r="N45" s="82">
        <f t="shared" si="0"/>
        <v>0</v>
      </c>
      <c r="O45" s="82" t="e">
        <f>((E45*H45*K45)/$D$3)+#REF!</f>
        <v>#VALUE!</v>
      </c>
      <c r="P45" s="82" t="e">
        <f>((F45*I45*L45)/$D$3)+#REF!</f>
        <v>#VALUE!</v>
      </c>
      <c r="Q45" s="82"/>
    </row>
    <row r="46" spans="1:17" ht="12.75" hidden="1">
      <c r="A46" s="77">
        <v>35</v>
      </c>
      <c r="B46" s="77"/>
      <c r="C46" s="77"/>
      <c r="D46" s="77"/>
      <c r="E46" s="77"/>
      <c r="F46" s="77"/>
      <c r="G46" s="83"/>
      <c r="H46" s="77"/>
      <c r="I46" s="77"/>
      <c r="J46" s="77"/>
      <c r="K46" s="77"/>
      <c r="L46" s="77"/>
      <c r="N46" s="82">
        <f t="shared" si="0"/>
        <v>0</v>
      </c>
      <c r="O46" s="82" t="e">
        <f>((E46*H46*K46)/$D$3)+#REF!</f>
        <v>#VALUE!</v>
      </c>
      <c r="P46" s="82" t="e">
        <f>((F46*I46*L46)/$D$3)+#REF!</f>
        <v>#VALUE!</v>
      </c>
      <c r="Q46" s="82"/>
    </row>
    <row r="47" spans="1:17" ht="12.75" hidden="1">
      <c r="A47" s="77">
        <v>36</v>
      </c>
      <c r="B47" s="77"/>
      <c r="C47" s="77"/>
      <c r="D47" s="77"/>
      <c r="E47" s="77"/>
      <c r="F47" s="77"/>
      <c r="G47" s="83"/>
      <c r="H47" s="77"/>
      <c r="I47" s="77"/>
      <c r="J47" s="77"/>
      <c r="K47" s="77"/>
      <c r="L47" s="77"/>
      <c r="N47" s="82">
        <f t="shared" si="0"/>
        <v>0</v>
      </c>
      <c r="O47" s="82" t="e">
        <f>((E47*H47*K47)/$D$3)+#REF!</f>
        <v>#VALUE!</v>
      </c>
      <c r="P47" s="82" t="e">
        <f>((F47*I47*L47)/$D$3)+#REF!</f>
        <v>#VALUE!</v>
      </c>
      <c r="Q47" s="82"/>
    </row>
    <row r="48" spans="1:17" ht="12.75" hidden="1">
      <c r="A48" s="77">
        <v>37</v>
      </c>
      <c r="B48" s="77"/>
      <c r="C48" s="77"/>
      <c r="D48" s="77"/>
      <c r="E48" s="77"/>
      <c r="F48" s="77"/>
      <c r="G48" s="83"/>
      <c r="H48" s="77"/>
      <c r="I48" s="77"/>
      <c r="J48" s="77"/>
      <c r="K48" s="77"/>
      <c r="L48" s="77"/>
      <c r="N48" s="82">
        <f t="shared" si="0"/>
        <v>0</v>
      </c>
      <c r="O48" s="82" t="e">
        <f>((E48*H48*K48)/$D$3)+#REF!</f>
        <v>#VALUE!</v>
      </c>
      <c r="P48" s="82" t="e">
        <f>((F48*I48*L48)/$D$3)+#REF!</f>
        <v>#VALUE!</v>
      </c>
      <c r="Q48" s="82"/>
    </row>
    <row r="49" spans="1:17" ht="12.75" hidden="1">
      <c r="A49" s="77">
        <v>38</v>
      </c>
      <c r="B49" s="77"/>
      <c r="C49" s="77"/>
      <c r="D49" s="77"/>
      <c r="E49" s="77"/>
      <c r="F49" s="77"/>
      <c r="G49" s="83"/>
      <c r="H49" s="77"/>
      <c r="I49" s="77"/>
      <c r="J49" s="77"/>
      <c r="K49" s="77"/>
      <c r="L49" s="77"/>
      <c r="N49" s="82">
        <f t="shared" si="0"/>
        <v>0</v>
      </c>
      <c r="O49" s="82" t="e">
        <f>((E49*H49*K49)/$D$3)+#REF!</f>
        <v>#VALUE!</v>
      </c>
      <c r="P49" s="82" t="e">
        <f>((F49*I49*L49)/$D$3)+#REF!</f>
        <v>#VALUE!</v>
      </c>
      <c r="Q49" s="82"/>
    </row>
    <row r="50" spans="1:17" ht="12.75" hidden="1">
      <c r="A50" s="77">
        <v>39</v>
      </c>
      <c r="B50" s="77"/>
      <c r="C50" s="77"/>
      <c r="D50" s="77"/>
      <c r="E50" s="77"/>
      <c r="F50" s="77"/>
      <c r="G50" s="83"/>
      <c r="H50" s="77"/>
      <c r="I50" s="77"/>
      <c r="J50" s="77"/>
      <c r="K50" s="77"/>
      <c r="L50" s="77"/>
      <c r="N50" s="82">
        <f t="shared" si="0"/>
        <v>0</v>
      </c>
      <c r="O50" s="82" t="e">
        <f>((E50*H50*K50)/$D$3)+#REF!</f>
        <v>#VALUE!</v>
      </c>
      <c r="P50" s="82" t="e">
        <f>((F50*I50*L50)/$D$3)+#REF!</f>
        <v>#VALUE!</v>
      </c>
      <c r="Q50" s="82"/>
    </row>
    <row r="51" spans="1:17" ht="12.75" hidden="1">
      <c r="A51" s="77">
        <v>40</v>
      </c>
      <c r="B51" s="77"/>
      <c r="C51" s="77"/>
      <c r="D51" s="77"/>
      <c r="E51" s="77"/>
      <c r="F51" s="77"/>
      <c r="G51" s="83"/>
      <c r="H51" s="77"/>
      <c r="I51" s="77"/>
      <c r="J51" s="77"/>
      <c r="K51" s="77"/>
      <c r="L51" s="77"/>
      <c r="N51" s="82">
        <f t="shared" si="0"/>
        <v>0</v>
      </c>
      <c r="O51" s="82" t="e">
        <f>((E51*H51*K51)/$D$3)+#REF!</f>
        <v>#VALUE!</v>
      </c>
      <c r="P51" s="82" t="e">
        <f>((F51*I51*L51)/$D$3)+#REF!</f>
        <v>#VALUE!</v>
      </c>
      <c r="Q51" s="82"/>
    </row>
    <row r="52" spans="1:17" ht="12.75" hidden="1">
      <c r="A52" s="77">
        <v>41</v>
      </c>
      <c r="B52" s="77"/>
      <c r="C52" s="77"/>
      <c r="D52" s="77"/>
      <c r="E52" s="77"/>
      <c r="F52" s="77"/>
      <c r="G52" s="83"/>
      <c r="H52" s="77"/>
      <c r="I52" s="77"/>
      <c r="J52" s="77"/>
      <c r="K52" s="77"/>
      <c r="L52" s="77"/>
      <c r="N52" s="82">
        <f t="shared" si="0"/>
        <v>0</v>
      </c>
      <c r="O52" s="82" t="e">
        <f>((E52*H52*K52)/$D$3)+#REF!</f>
        <v>#VALUE!</v>
      </c>
      <c r="P52" s="82" t="e">
        <f>((F52*I52*L52)/$D$3)+#REF!</f>
        <v>#VALUE!</v>
      </c>
      <c r="Q52" s="82"/>
    </row>
    <row r="53" spans="1:17" ht="12.75" hidden="1">
      <c r="A53" s="77">
        <v>42</v>
      </c>
      <c r="B53" s="77"/>
      <c r="C53" s="77"/>
      <c r="D53" s="77"/>
      <c r="E53" s="77"/>
      <c r="F53" s="77"/>
      <c r="G53" s="83"/>
      <c r="H53" s="77"/>
      <c r="I53" s="77"/>
      <c r="J53" s="77"/>
      <c r="K53" s="77"/>
      <c r="L53" s="77"/>
      <c r="N53" s="82">
        <f t="shared" si="0"/>
        <v>0</v>
      </c>
      <c r="O53" s="82" t="e">
        <f>((E53*H53*K53)/$D$3)+#REF!</f>
        <v>#VALUE!</v>
      </c>
      <c r="P53" s="82" t="e">
        <f>((F53*I53*L53)/$D$3)+#REF!</f>
        <v>#VALUE!</v>
      </c>
      <c r="Q53" s="82"/>
    </row>
    <row r="54" spans="1:17" ht="12.75" hidden="1">
      <c r="A54" s="77">
        <v>43</v>
      </c>
      <c r="B54" s="77"/>
      <c r="C54" s="77"/>
      <c r="D54" s="77"/>
      <c r="E54" s="77"/>
      <c r="F54" s="77"/>
      <c r="G54" s="83"/>
      <c r="H54" s="77"/>
      <c r="I54" s="77"/>
      <c r="J54" s="77"/>
      <c r="K54" s="77"/>
      <c r="L54" s="77"/>
      <c r="N54" s="82">
        <f t="shared" si="0"/>
        <v>0</v>
      </c>
      <c r="O54" s="82" t="e">
        <f>((E54*H54*K54)/$D$3)+#REF!</f>
        <v>#VALUE!</v>
      </c>
      <c r="P54" s="82" t="e">
        <f>((F54*I54*L54)/$D$3)+#REF!</f>
        <v>#VALUE!</v>
      </c>
      <c r="Q54" s="82"/>
    </row>
    <row r="55" spans="1:17" ht="12.75" hidden="1">
      <c r="A55" s="77">
        <v>44</v>
      </c>
      <c r="B55" s="77"/>
      <c r="C55" s="77"/>
      <c r="D55" s="77"/>
      <c r="E55" s="77"/>
      <c r="F55" s="77"/>
      <c r="G55" s="83"/>
      <c r="H55" s="77"/>
      <c r="I55" s="77"/>
      <c r="J55" s="77"/>
      <c r="K55" s="77"/>
      <c r="L55" s="77"/>
      <c r="N55" s="82">
        <f t="shared" si="0"/>
        <v>0</v>
      </c>
      <c r="O55" s="82" t="e">
        <f>((E55*H55*K55)/$D$3)+#REF!</f>
        <v>#VALUE!</v>
      </c>
      <c r="P55" s="82" t="e">
        <f>((F55*I55*L55)/$D$3)+#REF!</f>
        <v>#VALUE!</v>
      </c>
      <c r="Q55" s="82"/>
    </row>
    <row r="56" spans="1:17" ht="12.75" hidden="1">
      <c r="A56" s="77">
        <v>45</v>
      </c>
      <c r="B56" s="77"/>
      <c r="C56" s="77"/>
      <c r="D56" s="77"/>
      <c r="E56" s="77"/>
      <c r="F56" s="77"/>
      <c r="G56" s="83"/>
      <c r="H56" s="77"/>
      <c r="I56" s="77"/>
      <c r="J56" s="77"/>
      <c r="K56" s="77"/>
      <c r="L56" s="77"/>
      <c r="N56" s="82">
        <f t="shared" si="0"/>
        <v>0</v>
      </c>
      <c r="O56" s="82" t="e">
        <f>((E56*H56*K56)/$D$3)+#REF!</f>
        <v>#VALUE!</v>
      </c>
      <c r="P56" s="82" t="e">
        <f>((F56*I56*L56)/$D$3)+#REF!</f>
        <v>#VALUE!</v>
      </c>
      <c r="Q56" s="82"/>
    </row>
    <row r="57" spans="1:17" ht="12.75" hidden="1">
      <c r="A57" s="77">
        <v>46</v>
      </c>
      <c r="B57" s="77"/>
      <c r="C57" s="77"/>
      <c r="D57" s="77"/>
      <c r="E57" s="77"/>
      <c r="F57" s="77"/>
      <c r="G57" s="83"/>
      <c r="H57" s="77"/>
      <c r="I57" s="77"/>
      <c r="J57" s="77"/>
      <c r="K57" s="77"/>
      <c r="L57" s="77"/>
      <c r="N57" s="82">
        <f t="shared" si="0"/>
        <v>0</v>
      </c>
      <c r="O57" s="82" t="e">
        <f>((E57*H57*K57)/$D$3)+#REF!</f>
        <v>#VALUE!</v>
      </c>
      <c r="P57" s="82" t="e">
        <f>((F57*I57*L57)/$D$3)+#REF!</f>
        <v>#VALUE!</v>
      </c>
      <c r="Q57" s="82"/>
    </row>
    <row r="58" spans="1:17" ht="12.75" hidden="1">
      <c r="A58" s="77">
        <v>47</v>
      </c>
      <c r="B58" s="77"/>
      <c r="C58" s="77"/>
      <c r="D58" s="77"/>
      <c r="E58" s="77"/>
      <c r="F58" s="77"/>
      <c r="G58" s="83"/>
      <c r="H58" s="77"/>
      <c r="I58" s="77"/>
      <c r="J58" s="77"/>
      <c r="K58" s="77"/>
      <c r="L58" s="77"/>
      <c r="N58" s="82">
        <f t="shared" si="0"/>
        <v>0</v>
      </c>
      <c r="O58" s="82" t="e">
        <f>((E58*H58*K58)/$D$3)+#REF!</f>
        <v>#VALUE!</v>
      </c>
      <c r="P58" s="82" t="e">
        <f>((F58*I58*L58)/$D$3)+#REF!</f>
        <v>#VALUE!</v>
      </c>
      <c r="Q58" s="82"/>
    </row>
    <row r="59" spans="1:17" ht="12.75" hidden="1">
      <c r="A59" s="77">
        <v>48</v>
      </c>
      <c r="B59" s="77"/>
      <c r="C59" s="77"/>
      <c r="D59" s="77"/>
      <c r="E59" s="77"/>
      <c r="F59" s="77"/>
      <c r="G59" s="83"/>
      <c r="H59" s="77"/>
      <c r="I59" s="77"/>
      <c r="J59" s="77"/>
      <c r="K59" s="77"/>
      <c r="L59" s="77"/>
      <c r="N59" s="82">
        <f t="shared" si="0"/>
        <v>0</v>
      </c>
      <c r="O59" s="82" t="e">
        <f>((E59*H59*K59)/$D$3)+#REF!</f>
        <v>#VALUE!</v>
      </c>
      <c r="P59" s="82" t="e">
        <f>((F59*I59*L59)/$D$3)+#REF!</f>
        <v>#VALUE!</v>
      </c>
      <c r="Q59" s="82"/>
    </row>
    <row r="60" spans="1:17" ht="12.75" hidden="1">
      <c r="A60" s="77">
        <v>49</v>
      </c>
      <c r="B60" s="77"/>
      <c r="C60" s="77"/>
      <c r="D60" s="77"/>
      <c r="E60" s="77"/>
      <c r="F60" s="77"/>
      <c r="G60" s="83"/>
      <c r="H60" s="77"/>
      <c r="I60" s="77"/>
      <c r="J60" s="77"/>
      <c r="K60" s="77"/>
      <c r="L60" s="77"/>
      <c r="N60" s="82">
        <f t="shared" si="0"/>
        <v>0</v>
      </c>
      <c r="O60" s="82" t="e">
        <f>((E60*H60*K60)/$D$3)+#REF!</f>
        <v>#VALUE!</v>
      </c>
      <c r="P60" s="82" t="e">
        <f>((F60*I60*L60)/$D$3)+#REF!</f>
        <v>#VALUE!</v>
      </c>
      <c r="Q60" s="82"/>
    </row>
    <row r="61" spans="1:17" ht="12.75" hidden="1">
      <c r="A61" s="77">
        <v>50</v>
      </c>
      <c r="B61" s="77"/>
      <c r="C61" s="77"/>
      <c r="D61" s="77"/>
      <c r="E61" s="77"/>
      <c r="F61" s="77"/>
      <c r="G61" s="83"/>
      <c r="H61" s="77"/>
      <c r="I61" s="77"/>
      <c r="J61" s="77"/>
      <c r="K61" s="77"/>
      <c r="L61" s="77"/>
      <c r="N61" s="82">
        <f t="shared" si="0"/>
        <v>0</v>
      </c>
      <c r="O61" s="82" t="e">
        <f>((E61*H61*K61)/$D$3)+#REF!</f>
        <v>#VALUE!</v>
      </c>
      <c r="P61" s="82" t="e">
        <f>((F61*I61*L61)/$D$3)+#REF!</f>
        <v>#VALUE!</v>
      </c>
      <c r="Q61" s="82"/>
    </row>
    <row r="62" spans="1:17" ht="12.75" hidden="1">
      <c r="A62" s="77">
        <v>51</v>
      </c>
      <c r="B62" s="77"/>
      <c r="C62" s="77"/>
      <c r="D62" s="77"/>
      <c r="E62" s="77"/>
      <c r="F62" s="77"/>
      <c r="G62" s="83"/>
      <c r="H62" s="77"/>
      <c r="I62" s="77"/>
      <c r="J62" s="77"/>
      <c r="K62" s="77"/>
      <c r="L62" s="77"/>
      <c r="N62" s="82">
        <f t="shared" si="0"/>
        <v>0</v>
      </c>
      <c r="O62" s="82" t="e">
        <f>((E62*H62*K62)/$D$3)+#REF!</f>
        <v>#VALUE!</v>
      </c>
      <c r="P62" s="82" t="e">
        <f>((F62*I62*L62)/$D$3)+#REF!</f>
        <v>#VALUE!</v>
      </c>
      <c r="Q62" s="82"/>
    </row>
    <row r="63" spans="1:17" ht="12.75" hidden="1">
      <c r="A63" s="77">
        <v>52</v>
      </c>
      <c r="B63" s="77"/>
      <c r="C63" s="77"/>
      <c r="D63" s="77"/>
      <c r="E63" s="77"/>
      <c r="F63" s="77"/>
      <c r="G63" s="83"/>
      <c r="H63" s="77"/>
      <c r="I63" s="77"/>
      <c r="J63" s="77"/>
      <c r="K63" s="77"/>
      <c r="L63" s="77"/>
      <c r="N63" s="82">
        <f t="shared" si="0"/>
        <v>0</v>
      </c>
      <c r="O63" s="82" t="e">
        <f>((E63*H63*K63)/$D$3)+#REF!</f>
        <v>#VALUE!</v>
      </c>
      <c r="P63" s="82" t="e">
        <f>((F63*I63*L63)/$D$3)+#REF!</f>
        <v>#VALUE!</v>
      </c>
      <c r="Q63" s="82"/>
    </row>
    <row r="64" spans="1:17" ht="12.75" hidden="1">
      <c r="A64" s="77">
        <v>53</v>
      </c>
      <c r="B64" s="77"/>
      <c r="C64" s="77"/>
      <c r="D64" s="77"/>
      <c r="E64" s="77"/>
      <c r="F64" s="77"/>
      <c r="G64" s="83"/>
      <c r="H64" s="77"/>
      <c r="I64" s="77"/>
      <c r="J64" s="77"/>
      <c r="K64" s="77"/>
      <c r="L64" s="77"/>
      <c r="N64" s="82">
        <f t="shared" si="0"/>
        <v>0</v>
      </c>
      <c r="O64" s="82" t="e">
        <f>((E64*H64*K64)/$D$3)+#REF!</f>
        <v>#VALUE!</v>
      </c>
      <c r="P64" s="82" t="e">
        <f>((F64*I64*L64)/$D$3)+#REF!</f>
        <v>#VALUE!</v>
      </c>
      <c r="Q64" s="82"/>
    </row>
    <row r="65" spans="1:17" ht="12.75" hidden="1">
      <c r="A65" s="77">
        <v>54</v>
      </c>
      <c r="B65" s="77"/>
      <c r="C65" s="77"/>
      <c r="D65" s="77"/>
      <c r="E65" s="77"/>
      <c r="F65" s="77"/>
      <c r="G65" s="83"/>
      <c r="H65" s="77"/>
      <c r="I65" s="77"/>
      <c r="J65" s="77"/>
      <c r="K65" s="77"/>
      <c r="L65" s="77"/>
      <c r="N65" s="82">
        <f t="shared" si="0"/>
        <v>0</v>
      </c>
      <c r="O65" s="82" t="e">
        <f>((E65*H65*K65)/$D$3)+#REF!</f>
        <v>#VALUE!</v>
      </c>
      <c r="P65" s="82" t="e">
        <f>((F65*I65*L65)/$D$3)+#REF!</f>
        <v>#VALUE!</v>
      </c>
      <c r="Q65" s="82"/>
    </row>
    <row r="66" spans="1:17" ht="12.75" hidden="1">
      <c r="A66" s="77">
        <v>55</v>
      </c>
      <c r="B66" s="77"/>
      <c r="C66" s="77"/>
      <c r="D66" s="77"/>
      <c r="E66" s="77"/>
      <c r="F66" s="77"/>
      <c r="G66" s="83"/>
      <c r="H66" s="77"/>
      <c r="I66" s="77"/>
      <c r="J66" s="77"/>
      <c r="K66" s="77"/>
      <c r="L66" s="77"/>
      <c r="N66" s="82">
        <f t="shared" si="0"/>
        <v>0</v>
      </c>
      <c r="O66" s="82" t="e">
        <f>((E66*H66*K66)/$D$3)+#REF!</f>
        <v>#VALUE!</v>
      </c>
      <c r="P66" s="82" t="e">
        <f>((F66*I66*L66)/$D$3)+#REF!</f>
        <v>#VALUE!</v>
      </c>
      <c r="Q66" s="82"/>
    </row>
    <row r="67" spans="1:17" ht="12.75" hidden="1">
      <c r="A67" s="77">
        <v>56</v>
      </c>
      <c r="B67" s="77"/>
      <c r="C67" s="77"/>
      <c r="D67" s="77"/>
      <c r="E67" s="77"/>
      <c r="F67" s="77"/>
      <c r="G67" s="83"/>
      <c r="H67" s="77"/>
      <c r="I67" s="77"/>
      <c r="J67" s="77"/>
      <c r="K67" s="77"/>
      <c r="L67" s="77"/>
      <c r="N67" s="82">
        <f t="shared" si="0"/>
        <v>0</v>
      </c>
      <c r="O67" s="82" t="e">
        <f>((E67*H67*K67)/$D$3)+#REF!</f>
        <v>#VALUE!</v>
      </c>
      <c r="P67" s="82" t="e">
        <f>((F67*I67*L67)/$D$3)+#REF!</f>
        <v>#VALUE!</v>
      </c>
      <c r="Q67" s="82"/>
    </row>
    <row r="68" spans="1:17" ht="12.75" hidden="1">
      <c r="A68" s="77">
        <v>57</v>
      </c>
      <c r="B68" s="77"/>
      <c r="C68" s="77"/>
      <c r="D68" s="77"/>
      <c r="E68" s="77"/>
      <c r="F68" s="77"/>
      <c r="G68" s="83"/>
      <c r="H68" s="77"/>
      <c r="I68" s="77"/>
      <c r="J68" s="77"/>
      <c r="K68" s="77"/>
      <c r="L68" s="77"/>
      <c r="N68" s="82">
        <f t="shared" si="0"/>
        <v>0</v>
      </c>
      <c r="O68" s="82" t="e">
        <f>((E68*H68*K68)/$D$3)+#REF!</f>
        <v>#VALUE!</v>
      </c>
      <c r="P68" s="82" t="e">
        <f>((F68*I68*L68)/$D$3)+#REF!</f>
        <v>#VALUE!</v>
      </c>
      <c r="Q68" s="82"/>
    </row>
    <row r="69" spans="1:17" ht="12.75" hidden="1">
      <c r="A69" s="77">
        <v>58</v>
      </c>
      <c r="B69" s="77"/>
      <c r="C69" s="77"/>
      <c r="D69" s="77"/>
      <c r="E69" s="77"/>
      <c r="F69" s="77"/>
      <c r="G69" s="83"/>
      <c r="H69" s="77"/>
      <c r="I69" s="77"/>
      <c r="J69" s="77"/>
      <c r="K69" s="77"/>
      <c r="L69" s="77"/>
      <c r="N69" s="82">
        <f t="shared" si="0"/>
        <v>0</v>
      </c>
      <c r="O69" s="82" t="e">
        <f>((E69*H69*K69)/$D$3)+#REF!</f>
        <v>#VALUE!</v>
      </c>
      <c r="P69" s="82" t="e">
        <f>((F69*I69*L69)/$D$3)+#REF!</f>
        <v>#VALUE!</v>
      </c>
      <c r="Q69" s="82"/>
    </row>
    <row r="70" spans="1:17" ht="12.75" hidden="1">
      <c r="A70" s="77">
        <v>59</v>
      </c>
      <c r="B70" s="77"/>
      <c r="C70" s="77"/>
      <c r="D70" s="77"/>
      <c r="E70" s="77"/>
      <c r="F70" s="77"/>
      <c r="G70" s="83"/>
      <c r="H70" s="77"/>
      <c r="I70" s="77"/>
      <c r="J70" s="77"/>
      <c r="K70" s="77"/>
      <c r="L70" s="77"/>
      <c r="N70" s="82">
        <f t="shared" si="0"/>
        <v>0</v>
      </c>
      <c r="O70" s="82" t="e">
        <f>((E70*H70*K70)/$D$3)+#REF!</f>
        <v>#VALUE!</v>
      </c>
      <c r="P70" s="82" t="e">
        <f>((F70*I70*L70)/$D$3)+#REF!</f>
        <v>#VALUE!</v>
      </c>
      <c r="Q70" s="82"/>
    </row>
    <row r="71" spans="1:17" ht="12.75" hidden="1">
      <c r="A71" s="77">
        <v>60</v>
      </c>
      <c r="B71" s="77"/>
      <c r="C71" s="77"/>
      <c r="D71" s="77"/>
      <c r="E71" s="77"/>
      <c r="F71" s="77"/>
      <c r="G71" s="83"/>
      <c r="H71" s="77"/>
      <c r="I71" s="77"/>
      <c r="J71" s="77"/>
      <c r="K71" s="77"/>
      <c r="L71" s="77"/>
      <c r="N71" s="82">
        <f t="shared" si="0"/>
        <v>0</v>
      </c>
      <c r="O71" s="82" t="e">
        <f>((E71*H71*K71)/$D$3)+#REF!</f>
        <v>#VALUE!</v>
      </c>
      <c r="P71" s="82" t="e">
        <f>((F71*I71*L71)/$D$3)+#REF!</f>
        <v>#VALUE!</v>
      </c>
      <c r="Q71" s="82"/>
    </row>
    <row r="72" spans="1:17" ht="12.75" hidden="1">
      <c r="A72" s="77">
        <v>61</v>
      </c>
      <c r="B72" s="77"/>
      <c r="C72" s="77"/>
      <c r="D72" s="77"/>
      <c r="E72" s="77"/>
      <c r="F72" s="77"/>
      <c r="G72" s="83"/>
      <c r="H72" s="77"/>
      <c r="I72" s="77"/>
      <c r="J72" s="77"/>
      <c r="K72" s="77"/>
      <c r="L72" s="77"/>
      <c r="N72" s="82">
        <f t="shared" si="0"/>
        <v>0</v>
      </c>
      <c r="O72" s="82" t="e">
        <f>((E72*H72*K72)/$D$3)+#REF!</f>
        <v>#VALUE!</v>
      </c>
      <c r="P72" s="82" t="e">
        <f>((F72*I72*L72)/$D$3)+#REF!</f>
        <v>#VALUE!</v>
      </c>
      <c r="Q72" s="82"/>
    </row>
    <row r="73" spans="1:17" ht="12.75" hidden="1">
      <c r="A73" s="77">
        <v>62</v>
      </c>
      <c r="B73" s="77"/>
      <c r="C73" s="77"/>
      <c r="D73" s="77"/>
      <c r="E73" s="77"/>
      <c r="F73" s="77"/>
      <c r="G73" s="83"/>
      <c r="H73" s="77"/>
      <c r="I73" s="77"/>
      <c r="J73" s="77"/>
      <c r="K73" s="77"/>
      <c r="L73" s="77"/>
      <c r="N73" s="82">
        <f t="shared" si="0"/>
        <v>0</v>
      </c>
      <c r="O73" s="82" t="e">
        <f>((E73*H73*K73)/$D$3)+#REF!</f>
        <v>#VALUE!</v>
      </c>
      <c r="P73" s="82" t="e">
        <f>((F73*I73*L73)/$D$3)+#REF!</f>
        <v>#VALUE!</v>
      </c>
      <c r="Q73" s="82"/>
    </row>
    <row r="74" spans="1:17" ht="12.75" hidden="1">
      <c r="A74" s="77">
        <v>63</v>
      </c>
      <c r="B74" s="77"/>
      <c r="C74" s="77"/>
      <c r="D74" s="77"/>
      <c r="E74" s="77"/>
      <c r="F74" s="77"/>
      <c r="G74" s="83"/>
      <c r="H74" s="77"/>
      <c r="I74" s="77"/>
      <c r="J74" s="77"/>
      <c r="K74" s="77"/>
      <c r="L74" s="77"/>
      <c r="N74" s="82">
        <f t="shared" si="0"/>
        <v>0</v>
      </c>
      <c r="O74" s="82" t="e">
        <f>((E74*H74*K74)/$D$3)+#REF!</f>
        <v>#VALUE!</v>
      </c>
      <c r="P74" s="82" t="e">
        <f>((F74*I74*L74)/$D$3)+#REF!</f>
        <v>#VALUE!</v>
      </c>
      <c r="Q74" s="82"/>
    </row>
    <row r="75" spans="1:17" ht="12.75" hidden="1">
      <c r="A75" s="77">
        <v>64</v>
      </c>
      <c r="B75" s="77"/>
      <c r="C75" s="77"/>
      <c r="D75" s="77"/>
      <c r="E75" s="77"/>
      <c r="F75" s="77"/>
      <c r="G75" s="83"/>
      <c r="H75" s="77"/>
      <c r="I75" s="77"/>
      <c r="J75" s="77"/>
      <c r="K75" s="77"/>
      <c r="L75" s="77"/>
      <c r="N75" s="82">
        <f t="shared" si="0"/>
        <v>0</v>
      </c>
      <c r="O75" s="82" t="e">
        <f>((E75*H75*K75)/$D$3)+#REF!</f>
        <v>#VALUE!</v>
      </c>
      <c r="P75" s="82" t="e">
        <f>((F75*I75*L75)/$D$3)+#REF!</f>
        <v>#VALUE!</v>
      </c>
      <c r="Q75" s="82"/>
    </row>
    <row r="76" spans="1:17" ht="12.75" hidden="1">
      <c r="A76" s="77">
        <v>65</v>
      </c>
      <c r="B76" s="77"/>
      <c r="C76" s="77"/>
      <c r="D76" s="77"/>
      <c r="E76" s="77"/>
      <c r="F76" s="77"/>
      <c r="G76" s="83"/>
      <c r="H76" s="77"/>
      <c r="I76" s="77"/>
      <c r="J76" s="77"/>
      <c r="K76" s="77"/>
      <c r="L76" s="77"/>
      <c r="N76" s="82">
        <f t="shared" si="0"/>
        <v>0</v>
      </c>
      <c r="O76" s="82" t="e">
        <f>((E76*H76*K76)/$D$3)+#REF!</f>
        <v>#VALUE!</v>
      </c>
      <c r="P76" s="82" t="e">
        <f>((F76*I76*L76)/$D$3)+#REF!</f>
        <v>#VALUE!</v>
      </c>
      <c r="Q76" s="82"/>
    </row>
    <row r="77" spans="1:17" ht="12.75" hidden="1">
      <c r="A77" s="77">
        <v>66</v>
      </c>
      <c r="B77" s="77"/>
      <c r="C77" s="77"/>
      <c r="D77" s="77"/>
      <c r="E77" s="77"/>
      <c r="F77" s="77"/>
      <c r="G77" s="83"/>
      <c r="H77" s="77"/>
      <c r="I77" s="77"/>
      <c r="J77" s="77"/>
      <c r="K77" s="77"/>
      <c r="L77" s="77"/>
      <c r="N77" s="82">
        <f t="shared" si="0"/>
        <v>0</v>
      </c>
      <c r="O77" s="82" t="e">
        <f>((E77*H77*K77)/$D$3)+#REF!</f>
        <v>#VALUE!</v>
      </c>
      <c r="P77" s="82" t="e">
        <f>((F77*I77*L77)/$D$3)+#REF!</f>
        <v>#VALUE!</v>
      </c>
      <c r="Q77" s="82"/>
    </row>
    <row r="78" spans="1:17" ht="12.75" hidden="1">
      <c r="A78" s="77">
        <v>67</v>
      </c>
      <c r="B78" s="77"/>
      <c r="C78" s="77"/>
      <c r="D78" s="77"/>
      <c r="E78" s="77"/>
      <c r="F78" s="77"/>
      <c r="G78" s="83"/>
      <c r="H78" s="77"/>
      <c r="I78" s="77"/>
      <c r="J78" s="77"/>
      <c r="K78" s="77"/>
      <c r="L78" s="77"/>
      <c r="N78" s="82">
        <f t="shared" si="0"/>
        <v>0</v>
      </c>
      <c r="O78" s="82" t="e">
        <f>((E78*H78*K78)/$D$3)+#REF!</f>
        <v>#VALUE!</v>
      </c>
      <c r="P78" s="82" t="e">
        <f>((F78*I78*L78)/$D$3)+#REF!</f>
        <v>#VALUE!</v>
      </c>
      <c r="Q78" s="82"/>
    </row>
    <row r="79" spans="1:17" ht="12.75" hidden="1">
      <c r="A79" s="77">
        <v>68</v>
      </c>
      <c r="B79" s="77"/>
      <c r="C79" s="77"/>
      <c r="D79" s="77"/>
      <c r="E79" s="77"/>
      <c r="F79" s="77"/>
      <c r="G79" s="83"/>
      <c r="H79" s="77"/>
      <c r="I79" s="77"/>
      <c r="J79" s="77"/>
      <c r="K79" s="77"/>
      <c r="L79" s="77"/>
      <c r="N79" s="82">
        <f t="shared" si="0"/>
        <v>0</v>
      </c>
      <c r="O79" s="82" t="e">
        <f>((E79*H79*K79)/$D$3)+#REF!</f>
        <v>#VALUE!</v>
      </c>
      <c r="P79" s="82" t="e">
        <f>((F79*I79*L79)/$D$3)+#REF!</f>
        <v>#VALUE!</v>
      </c>
      <c r="Q79" s="82"/>
    </row>
    <row r="80" spans="1:17" ht="12.75" hidden="1">
      <c r="A80" s="77">
        <v>69</v>
      </c>
      <c r="B80" s="77"/>
      <c r="C80" s="77"/>
      <c r="D80" s="77"/>
      <c r="E80" s="77"/>
      <c r="F80" s="77"/>
      <c r="G80" s="83"/>
      <c r="H80" s="77"/>
      <c r="I80" s="77"/>
      <c r="J80" s="77"/>
      <c r="K80" s="77"/>
      <c r="L80" s="77"/>
      <c r="N80" s="82">
        <f t="shared" si="0"/>
        <v>0</v>
      </c>
      <c r="O80" s="82" t="e">
        <f>((E80*H80*K80)/$D$3)+#REF!</f>
        <v>#VALUE!</v>
      </c>
      <c r="P80" s="82" t="e">
        <f>((F80*I80*L80)/$D$3)+#REF!</f>
        <v>#VALUE!</v>
      </c>
      <c r="Q80" s="82"/>
    </row>
    <row r="81" spans="1:17" ht="12.75" hidden="1">
      <c r="A81" s="77">
        <v>70</v>
      </c>
      <c r="B81" s="77"/>
      <c r="C81" s="77"/>
      <c r="D81" s="77"/>
      <c r="E81" s="77"/>
      <c r="F81" s="77"/>
      <c r="G81" s="83"/>
      <c r="H81" s="77"/>
      <c r="I81" s="77"/>
      <c r="J81" s="77"/>
      <c r="K81" s="77"/>
      <c r="L81" s="77"/>
      <c r="N81" s="82">
        <f t="shared" si="0"/>
        <v>0</v>
      </c>
      <c r="O81" s="82" t="e">
        <f>((E81*H81*K81)/$D$3)+#REF!</f>
        <v>#VALUE!</v>
      </c>
      <c r="P81" s="82" t="e">
        <f>((F81*I81*L81)/$D$3)+#REF!</f>
        <v>#VALUE!</v>
      </c>
      <c r="Q81" s="82"/>
    </row>
    <row r="82" spans="1:17" ht="12.75" hidden="1">
      <c r="A82" s="77">
        <v>71</v>
      </c>
      <c r="B82" s="77"/>
      <c r="C82" s="77"/>
      <c r="D82" s="77"/>
      <c r="E82" s="77"/>
      <c r="F82" s="77"/>
      <c r="G82" s="83"/>
      <c r="H82" s="77"/>
      <c r="I82" s="77"/>
      <c r="J82" s="77"/>
      <c r="K82" s="77"/>
      <c r="L82" s="77"/>
      <c r="N82" s="82">
        <f t="shared" si="0"/>
        <v>0</v>
      </c>
      <c r="O82" s="82" t="e">
        <f>((E82*H82*K82)/$D$3)+#REF!</f>
        <v>#VALUE!</v>
      </c>
      <c r="P82" s="82" t="e">
        <f>((F82*I82*L82)/$D$3)+#REF!</f>
        <v>#VALUE!</v>
      </c>
      <c r="Q82" s="82"/>
    </row>
    <row r="83" spans="1:17" ht="12.75" hidden="1">
      <c r="A83" s="77">
        <v>72</v>
      </c>
      <c r="B83" s="77"/>
      <c r="C83" s="77"/>
      <c r="D83" s="77"/>
      <c r="E83" s="77"/>
      <c r="F83" s="77"/>
      <c r="G83" s="83"/>
      <c r="H83" s="77"/>
      <c r="I83" s="77"/>
      <c r="J83" s="77"/>
      <c r="K83" s="77"/>
      <c r="L83" s="77"/>
      <c r="N83" s="82">
        <f t="shared" si="0"/>
        <v>0</v>
      </c>
      <c r="O83" s="82" t="e">
        <f>((E83*H83*K83)/$D$3)+#REF!</f>
        <v>#VALUE!</v>
      </c>
      <c r="P83" s="82" t="e">
        <f>((F83*I83*L83)/$D$3)+#REF!</f>
        <v>#VALUE!</v>
      </c>
      <c r="Q83" s="82"/>
    </row>
    <row r="84" spans="1:17" ht="12.75" hidden="1">
      <c r="A84" s="77">
        <v>73</v>
      </c>
      <c r="B84" s="77"/>
      <c r="C84" s="77"/>
      <c r="D84" s="77"/>
      <c r="E84" s="77"/>
      <c r="F84" s="77"/>
      <c r="G84" s="83"/>
      <c r="H84" s="77"/>
      <c r="I84" s="77"/>
      <c r="J84" s="77"/>
      <c r="K84" s="77"/>
      <c r="L84" s="77"/>
      <c r="N84" s="82">
        <f t="shared" si="0"/>
        <v>0</v>
      </c>
      <c r="O84" s="82" t="e">
        <f>((E84*H84*K84)/$D$3)+#REF!</f>
        <v>#VALUE!</v>
      </c>
      <c r="P84" s="82" t="e">
        <f>((F84*I84*L84)/$D$3)+#REF!</f>
        <v>#VALUE!</v>
      </c>
      <c r="Q84" s="82"/>
    </row>
    <row r="85" spans="1:17" ht="12.75" hidden="1">
      <c r="A85" s="77">
        <v>74</v>
      </c>
      <c r="B85" s="77"/>
      <c r="C85" s="77"/>
      <c r="D85" s="77"/>
      <c r="E85" s="77"/>
      <c r="F85" s="77"/>
      <c r="G85" s="83"/>
      <c r="H85" s="77"/>
      <c r="I85" s="77"/>
      <c r="J85" s="77"/>
      <c r="K85" s="77"/>
      <c r="L85" s="77"/>
      <c r="N85" s="82">
        <f t="shared" si="0"/>
        <v>0</v>
      </c>
      <c r="O85" s="82" t="e">
        <f>((E85*H85*K85)/$D$3)+#REF!</f>
        <v>#VALUE!</v>
      </c>
      <c r="P85" s="82" t="e">
        <f>((F85*I85*L85)/$D$3)+#REF!</f>
        <v>#VALUE!</v>
      </c>
      <c r="Q85" s="82"/>
    </row>
    <row r="86" spans="1:17" ht="12.75" hidden="1">
      <c r="A86" s="77">
        <v>75</v>
      </c>
      <c r="B86" s="77"/>
      <c r="C86" s="77"/>
      <c r="D86" s="77"/>
      <c r="E86" s="77"/>
      <c r="F86" s="77"/>
      <c r="G86" s="83"/>
      <c r="H86" s="77"/>
      <c r="I86" s="77"/>
      <c r="J86" s="77"/>
      <c r="K86" s="77"/>
      <c r="L86" s="77"/>
      <c r="N86" s="82">
        <f t="shared" si="0"/>
        <v>0</v>
      </c>
      <c r="O86" s="82" t="e">
        <f>((E86*H86*K86)/$D$3)+#REF!</f>
        <v>#VALUE!</v>
      </c>
      <c r="P86" s="82" t="e">
        <f>((F86*I86*L86)/$D$3)+#REF!</f>
        <v>#VALUE!</v>
      </c>
      <c r="Q86" s="82"/>
    </row>
    <row r="87" spans="1:17" ht="12.75" hidden="1">
      <c r="A87" s="77">
        <v>76</v>
      </c>
      <c r="B87" s="77"/>
      <c r="C87" s="77"/>
      <c r="D87" s="77"/>
      <c r="E87" s="77"/>
      <c r="F87" s="77"/>
      <c r="G87" s="83"/>
      <c r="H87" s="77"/>
      <c r="I87" s="77"/>
      <c r="J87" s="77"/>
      <c r="K87" s="77"/>
      <c r="L87" s="77"/>
      <c r="N87" s="82">
        <f t="shared" si="0"/>
        <v>0</v>
      </c>
      <c r="O87" s="82" t="e">
        <f>((E87*H87*K87)/$D$3)+#REF!</f>
        <v>#VALUE!</v>
      </c>
      <c r="P87" s="82" t="e">
        <f>((F87*I87*L87)/$D$3)+#REF!</f>
        <v>#VALUE!</v>
      </c>
      <c r="Q87" s="82"/>
    </row>
    <row r="88" spans="1:17" ht="12.75" hidden="1">
      <c r="A88" s="77">
        <v>77</v>
      </c>
      <c r="B88" s="77"/>
      <c r="C88" s="77"/>
      <c r="D88" s="77"/>
      <c r="E88" s="77"/>
      <c r="F88" s="77"/>
      <c r="G88" s="83"/>
      <c r="H88" s="77"/>
      <c r="I88" s="77"/>
      <c r="J88" s="77"/>
      <c r="K88" s="77"/>
      <c r="L88" s="77"/>
      <c r="N88" s="82">
        <f t="shared" si="0"/>
        <v>0</v>
      </c>
      <c r="O88" s="82" t="e">
        <f>((E88*H88*K88)/$D$3)+#REF!</f>
        <v>#VALUE!</v>
      </c>
      <c r="P88" s="82" t="e">
        <f>((F88*I88*L88)/$D$3)+#REF!</f>
        <v>#VALUE!</v>
      </c>
      <c r="Q88" s="82"/>
    </row>
    <row r="89" spans="1:17" ht="12.75" hidden="1">
      <c r="A89" s="77">
        <v>78</v>
      </c>
      <c r="B89" s="77"/>
      <c r="C89" s="77"/>
      <c r="D89" s="77"/>
      <c r="E89" s="77"/>
      <c r="F89" s="77"/>
      <c r="G89" s="83"/>
      <c r="H89" s="77"/>
      <c r="I89" s="77"/>
      <c r="J89" s="77"/>
      <c r="K89" s="77"/>
      <c r="L89" s="77"/>
      <c r="N89" s="82">
        <f t="shared" si="0"/>
        <v>0</v>
      </c>
      <c r="O89" s="82" t="e">
        <f>((E89*H89*K89)/$D$3)+#REF!</f>
        <v>#VALUE!</v>
      </c>
      <c r="P89" s="82" t="e">
        <f>((F89*I89*L89)/$D$3)+#REF!</f>
        <v>#VALUE!</v>
      </c>
      <c r="Q89" s="82"/>
    </row>
    <row r="90" spans="1:17" ht="12.75" hidden="1">
      <c r="A90" s="77">
        <v>79</v>
      </c>
      <c r="B90" s="77"/>
      <c r="C90" s="77"/>
      <c r="D90" s="77"/>
      <c r="E90" s="77"/>
      <c r="F90" s="77"/>
      <c r="G90" s="83"/>
      <c r="H90" s="77"/>
      <c r="I90" s="77"/>
      <c r="J90" s="77"/>
      <c r="K90" s="77"/>
      <c r="L90" s="77"/>
      <c r="N90" s="82">
        <f t="shared" si="0"/>
        <v>0</v>
      </c>
      <c r="O90" s="82" t="e">
        <f>((E90*H90*K90)/$D$3)+#REF!</f>
        <v>#VALUE!</v>
      </c>
      <c r="P90" s="82" t="e">
        <f>((F90*I90*L90)/$D$3)+#REF!</f>
        <v>#VALUE!</v>
      </c>
      <c r="Q90" s="82"/>
    </row>
    <row r="91" spans="1:17" ht="12.75" hidden="1">
      <c r="A91" s="77">
        <v>80</v>
      </c>
      <c r="B91" s="77"/>
      <c r="C91" s="77"/>
      <c r="D91" s="77"/>
      <c r="E91" s="77"/>
      <c r="F91" s="77"/>
      <c r="G91" s="83"/>
      <c r="H91" s="77"/>
      <c r="I91" s="77"/>
      <c r="J91" s="77"/>
      <c r="K91" s="77"/>
      <c r="L91" s="77"/>
      <c r="N91" s="82">
        <f t="shared" si="0"/>
        <v>0</v>
      </c>
      <c r="O91" s="82" t="e">
        <f>((E91*H91*K91)/$D$3)+#REF!</f>
        <v>#VALUE!</v>
      </c>
      <c r="P91" s="82" t="e">
        <f>((F91*I91*L91)/$D$3)+#REF!</f>
        <v>#VALUE!</v>
      </c>
      <c r="Q91" s="82"/>
    </row>
    <row r="92" spans="1:17" ht="12.75" hidden="1">
      <c r="A92" s="77">
        <v>81</v>
      </c>
      <c r="B92" s="77"/>
      <c r="C92" s="77"/>
      <c r="D92" s="77"/>
      <c r="E92" s="77"/>
      <c r="F92" s="77"/>
      <c r="G92" s="83"/>
      <c r="H92" s="77"/>
      <c r="I92" s="77"/>
      <c r="J92" s="77"/>
      <c r="K92" s="77"/>
      <c r="L92" s="77"/>
      <c r="N92" s="82">
        <f t="shared" si="0"/>
        <v>0</v>
      </c>
      <c r="O92" s="82" t="e">
        <f>((E92*H92*K92)/$D$3)+#REF!</f>
        <v>#VALUE!</v>
      </c>
      <c r="P92" s="82" t="e">
        <f>((F92*I92*L92)/$D$3)+#REF!</f>
        <v>#VALUE!</v>
      </c>
      <c r="Q92" s="82"/>
    </row>
    <row r="93" spans="1:17" ht="12.75" hidden="1">
      <c r="A93" s="77">
        <v>82</v>
      </c>
      <c r="B93" s="77"/>
      <c r="C93" s="77"/>
      <c r="D93" s="77"/>
      <c r="E93" s="77"/>
      <c r="F93" s="77"/>
      <c r="G93" s="83"/>
      <c r="H93" s="77"/>
      <c r="I93" s="77"/>
      <c r="J93" s="77"/>
      <c r="K93" s="77"/>
      <c r="L93" s="77"/>
      <c r="N93" s="82">
        <f t="shared" si="0"/>
        <v>0</v>
      </c>
      <c r="O93" s="82" t="e">
        <f>((E93*H93*K93)/$D$3)+#REF!</f>
        <v>#VALUE!</v>
      </c>
      <c r="P93" s="82" t="e">
        <f>((F93*I93*L93)/$D$3)+#REF!</f>
        <v>#VALUE!</v>
      </c>
      <c r="Q93" s="82"/>
    </row>
    <row r="94" spans="1:17" ht="12.75" hidden="1">
      <c r="A94" s="77">
        <v>83</v>
      </c>
      <c r="B94" s="77"/>
      <c r="C94" s="77"/>
      <c r="D94" s="77"/>
      <c r="E94" s="77"/>
      <c r="F94" s="77"/>
      <c r="G94" s="83"/>
      <c r="H94" s="77"/>
      <c r="I94" s="77"/>
      <c r="J94" s="77"/>
      <c r="K94" s="77"/>
      <c r="L94" s="77"/>
      <c r="N94" s="82">
        <f t="shared" si="0"/>
        <v>0</v>
      </c>
      <c r="O94" s="82" t="e">
        <f>((E94*H94*K94)/$D$3)+#REF!</f>
        <v>#VALUE!</v>
      </c>
      <c r="P94" s="82" t="e">
        <f>((F94*I94*L94)/$D$3)+#REF!</f>
        <v>#VALUE!</v>
      </c>
      <c r="Q94" s="82"/>
    </row>
    <row r="95" spans="1:17" ht="12.75" hidden="1">
      <c r="A95" s="77">
        <v>84</v>
      </c>
      <c r="B95" s="77"/>
      <c r="C95" s="77"/>
      <c r="D95" s="77"/>
      <c r="E95" s="77"/>
      <c r="F95" s="77"/>
      <c r="G95" s="83"/>
      <c r="H95" s="77"/>
      <c r="I95" s="77"/>
      <c r="J95" s="77"/>
      <c r="K95" s="77"/>
      <c r="L95" s="77"/>
      <c r="N95" s="82">
        <f t="shared" si="0"/>
        <v>0</v>
      </c>
      <c r="O95" s="82" t="e">
        <f>((E95*H95*K95)/$D$3)+#REF!</f>
        <v>#VALUE!</v>
      </c>
      <c r="P95" s="82" t="e">
        <f>((F95*I95*L95)/$D$3)+#REF!</f>
        <v>#VALUE!</v>
      </c>
      <c r="Q95" s="82"/>
    </row>
    <row r="96" spans="1:17" ht="12.75" hidden="1">
      <c r="A96" s="77">
        <v>85</v>
      </c>
      <c r="B96" s="77"/>
      <c r="C96" s="77"/>
      <c r="D96" s="77"/>
      <c r="E96" s="77"/>
      <c r="F96" s="77"/>
      <c r="G96" s="83"/>
      <c r="H96" s="77"/>
      <c r="I96" s="77"/>
      <c r="J96" s="77"/>
      <c r="K96" s="77"/>
      <c r="L96" s="77"/>
      <c r="N96" s="82">
        <f t="shared" si="0"/>
        <v>0</v>
      </c>
      <c r="O96" s="82" t="e">
        <f>((E96*H96*K96)/$D$3)+#REF!</f>
        <v>#VALUE!</v>
      </c>
      <c r="P96" s="82" t="e">
        <f>((F96*I96*L96)/$D$3)+#REF!</f>
        <v>#VALUE!</v>
      </c>
      <c r="Q96" s="82"/>
    </row>
    <row r="97" spans="1:17" ht="12.75" hidden="1">
      <c r="A97" s="77">
        <v>86</v>
      </c>
      <c r="B97" s="77"/>
      <c r="C97" s="77"/>
      <c r="D97" s="77"/>
      <c r="E97" s="77"/>
      <c r="F97" s="77"/>
      <c r="G97" s="83"/>
      <c r="H97" s="77"/>
      <c r="I97" s="77"/>
      <c r="J97" s="77"/>
      <c r="K97" s="77"/>
      <c r="L97" s="77"/>
      <c r="N97" s="82">
        <f t="shared" si="0"/>
        <v>0</v>
      </c>
      <c r="O97" s="82" t="e">
        <f>((E97*H97*K97)/$D$3)+#REF!</f>
        <v>#VALUE!</v>
      </c>
      <c r="P97" s="82" t="e">
        <f>((F97*I97*L97)/$D$3)+#REF!</f>
        <v>#VALUE!</v>
      </c>
      <c r="Q97" s="82"/>
    </row>
    <row r="98" spans="1:17" ht="12.75" hidden="1">
      <c r="A98" s="77">
        <v>87</v>
      </c>
      <c r="B98" s="77"/>
      <c r="C98" s="77"/>
      <c r="D98" s="77"/>
      <c r="E98" s="77"/>
      <c r="F98" s="77"/>
      <c r="G98" s="83"/>
      <c r="H98" s="77"/>
      <c r="I98" s="77"/>
      <c r="J98" s="77"/>
      <c r="K98" s="77"/>
      <c r="L98" s="77"/>
      <c r="N98" s="82">
        <f t="shared" si="0"/>
        <v>0</v>
      </c>
      <c r="O98" s="82" t="e">
        <f>((E98*H98*K98)/$D$3)+#REF!</f>
        <v>#VALUE!</v>
      </c>
      <c r="P98" s="82" t="e">
        <f>((F98*I98*L98)/$D$3)+#REF!</f>
        <v>#VALUE!</v>
      </c>
      <c r="Q98" s="82"/>
    </row>
    <row r="99" spans="1:17" ht="12.75" hidden="1">
      <c r="A99" s="77">
        <v>88</v>
      </c>
      <c r="B99" s="77"/>
      <c r="C99" s="77"/>
      <c r="D99" s="77"/>
      <c r="E99" s="77"/>
      <c r="F99" s="77"/>
      <c r="G99" s="83"/>
      <c r="H99" s="77"/>
      <c r="I99" s="77"/>
      <c r="J99" s="77"/>
      <c r="K99" s="77"/>
      <c r="L99" s="77"/>
      <c r="N99" s="82">
        <f t="shared" si="0"/>
        <v>0</v>
      </c>
      <c r="O99" s="82" t="e">
        <f>((E99*H99*K99)/$D$3)+#REF!</f>
        <v>#VALUE!</v>
      </c>
      <c r="P99" s="82" t="e">
        <f>((F99*I99*L99)/$D$3)+#REF!</f>
        <v>#VALUE!</v>
      </c>
      <c r="Q99" s="82"/>
    </row>
    <row r="100" spans="1:17" ht="12.75" hidden="1">
      <c r="A100" s="77">
        <v>89</v>
      </c>
      <c r="B100" s="77"/>
      <c r="C100" s="77"/>
      <c r="D100" s="77"/>
      <c r="E100" s="77"/>
      <c r="F100" s="77"/>
      <c r="G100" s="83"/>
      <c r="H100" s="77"/>
      <c r="I100" s="77"/>
      <c r="J100" s="77"/>
      <c r="K100" s="77"/>
      <c r="L100" s="77"/>
      <c r="N100" s="82">
        <f t="shared" si="0"/>
        <v>0</v>
      </c>
      <c r="O100" s="82" t="e">
        <f>((E100*H100*K100)/$D$3)+#REF!</f>
        <v>#VALUE!</v>
      </c>
      <c r="P100" s="82" t="e">
        <f>((F100*I100*L100)/$D$3)+#REF!</f>
        <v>#VALUE!</v>
      </c>
      <c r="Q100" s="82"/>
    </row>
    <row r="101" spans="1:17" ht="12.75" hidden="1">
      <c r="A101" s="77">
        <v>90</v>
      </c>
      <c r="B101" s="77"/>
      <c r="C101" s="77"/>
      <c r="D101" s="77"/>
      <c r="E101" s="77"/>
      <c r="F101" s="77"/>
      <c r="G101" s="83"/>
      <c r="H101" s="77"/>
      <c r="I101" s="77"/>
      <c r="J101" s="77"/>
      <c r="K101" s="77"/>
      <c r="L101" s="77"/>
      <c r="N101" s="82">
        <f t="shared" si="0"/>
        <v>0</v>
      </c>
      <c r="O101" s="82" t="e">
        <f>((E101*H101*K101)/$D$3)+#REF!</f>
        <v>#VALUE!</v>
      </c>
      <c r="P101" s="82" t="e">
        <f>((F101*I101*L101)/$D$3)+#REF!</f>
        <v>#VALUE!</v>
      </c>
      <c r="Q101" s="82"/>
    </row>
    <row r="102" spans="1:17" ht="12.75" hidden="1">
      <c r="A102" s="77">
        <v>91</v>
      </c>
      <c r="B102" s="77"/>
      <c r="C102" s="77"/>
      <c r="D102" s="77"/>
      <c r="E102" s="77"/>
      <c r="F102" s="77"/>
      <c r="G102" s="83"/>
      <c r="H102" s="77"/>
      <c r="I102" s="77"/>
      <c r="J102" s="77"/>
      <c r="K102" s="77"/>
      <c r="L102" s="77"/>
      <c r="N102" s="82">
        <f t="shared" si="0"/>
        <v>0</v>
      </c>
      <c r="O102" s="82" t="e">
        <f>((E102*H102*K102)/$D$3)+#REF!</f>
        <v>#VALUE!</v>
      </c>
      <c r="P102" s="82" t="e">
        <f>((F102*I102*L102)/$D$3)+#REF!</f>
        <v>#VALUE!</v>
      </c>
      <c r="Q102" s="82"/>
    </row>
    <row r="103" spans="1:17" ht="12.75" hidden="1">
      <c r="A103" s="77">
        <v>92</v>
      </c>
      <c r="B103" s="77"/>
      <c r="C103" s="77"/>
      <c r="D103" s="77"/>
      <c r="E103" s="77"/>
      <c r="F103" s="77"/>
      <c r="G103" s="83"/>
      <c r="H103" s="77"/>
      <c r="I103" s="77"/>
      <c r="J103" s="77"/>
      <c r="K103" s="77"/>
      <c r="L103" s="77"/>
      <c r="N103" s="82">
        <f t="shared" si="0"/>
        <v>0</v>
      </c>
      <c r="O103" s="82" t="e">
        <f>((E103*H103*K103)/$D$3)+#REF!</f>
        <v>#VALUE!</v>
      </c>
      <c r="P103" s="82" t="e">
        <f>((F103*I103*L103)/$D$3)+#REF!</f>
        <v>#VALUE!</v>
      </c>
      <c r="Q103" s="82"/>
    </row>
    <row r="104" spans="1:17" ht="12.75" hidden="1">
      <c r="A104" s="77">
        <v>93</v>
      </c>
      <c r="B104" s="77"/>
      <c r="C104" s="77"/>
      <c r="D104" s="77"/>
      <c r="E104" s="77"/>
      <c r="F104" s="77"/>
      <c r="G104" s="83"/>
      <c r="H104" s="77"/>
      <c r="I104" s="77"/>
      <c r="J104" s="77"/>
      <c r="K104" s="77"/>
      <c r="L104" s="77"/>
      <c r="N104" s="82">
        <f t="shared" si="0"/>
        <v>0</v>
      </c>
      <c r="O104" s="82" t="e">
        <f>((E104*H104*K104)/$D$3)+#REF!</f>
        <v>#VALUE!</v>
      </c>
      <c r="P104" s="82" t="e">
        <f>((F104*I104*L104)/$D$3)+#REF!</f>
        <v>#VALUE!</v>
      </c>
      <c r="Q104" s="82"/>
    </row>
    <row r="105" spans="1:17" ht="12.75" hidden="1">
      <c r="A105" s="77">
        <v>94</v>
      </c>
      <c r="B105" s="77"/>
      <c r="C105" s="77"/>
      <c r="D105" s="77"/>
      <c r="E105" s="77"/>
      <c r="F105" s="77"/>
      <c r="G105" s="83"/>
      <c r="H105" s="77"/>
      <c r="I105" s="77"/>
      <c r="J105" s="77"/>
      <c r="K105" s="77"/>
      <c r="L105" s="77"/>
      <c r="N105" s="82">
        <f t="shared" si="0"/>
        <v>0</v>
      </c>
      <c r="O105" s="82" t="e">
        <f>((E105*H105*K105)/$D$3)+#REF!</f>
        <v>#VALUE!</v>
      </c>
      <c r="P105" s="82" t="e">
        <f>((F105*I105*L105)/$D$3)+#REF!</f>
        <v>#VALUE!</v>
      </c>
      <c r="Q105" s="82"/>
    </row>
    <row r="106" spans="1:17" ht="12.75" hidden="1">
      <c r="A106" s="77">
        <v>95</v>
      </c>
      <c r="B106" s="77"/>
      <c r="C106" s="77"/>
      <c r="D106" s="77"/>
      <c r="E106" s="77"/>
      <c r="F106" s="77"/>
      <c r="G106" s="83"/>
      <c r="H106" s="77"/>
      <c r="I106" s="77"/>
      <c r="J106" s="77"/>
      <c r="K106" s="77"/>
      <c r="L106" s="77"/>
      <c r="N106" s="82">
        <f t="shared" si="0"/>
        <v>0</v>
      </c>
      <c r="O106" s="82" t="e">
        <f>((E106*H106*K106)/$D$3)+#REF!</f>
        <v>#VALUE!</v>
      </c>
      <c r="P106" s="82" t="e">
        <f>((F106*I106*L106)/$D$3)+#REF!</f>
        <v>#VALUE!</v>
      </c>
      <c r="Q106" s="82"/>
    </row>
    <row r="107" spans="1:17" ht="12.75" hidden="1">
      <c r="A107" s="77">
        <v>96</v>
      </c>
      <c r="B107" s="77"/>
      <c r="C107" s="77"/>
      <c r="D107" s="77"/>
      <c r="E107" s="77"/>
      <c r="F107" s="77"/>
      <c r="G107" s="83"/>
      <c r="H107" s="77"/>
      <c r="I107" s="77"/>
      <c r="J107" s="77"/>
      <c r="K107" s="77"/>
      <c r="L107" s="77"/>
      <c r="N107" s="82">
        <f t="shared" si="0"/>
        <v>0</v>
      </c>
      <c r="O107" s="82" t="e">
        <f>((E107*H107*K107)/$D$3)+#REF!</f>
        <v>#VALUE!</v>
      </c>
      <c r="P107" s="82" t="e">
        <f>((F107*I107*L107)/$D$3)+#REF!</f>
        <v>#VALUE!</v>
      </c>
      <c r="Q107" s="82"/>
    </row>
    <row r="108" spans="1:17" ht="12.75" hidden="1">
      <c r="A108" s="77">
        <v>97</v>
      </c>
      <c r="B108" s="77"/>
      <c r="C108" s="77"/>
      <c r="D108" s="77"/>
      <c r="E108" s="77"/>
      <c r="F108" s="77"/>
      <c r="G108" s="83"/>
      <c r="H108" s="77"/>
      <c r="I108" s="77"/>
      <c r="J108" s="77"/>
      <c r="K108" s="77"/>
      <c r="L108" s="77"/>
      <c r="N108" s="82">
        <f t="shared" si="0"/>
        <v>0</v>
      </c>
      <c r="O108" s="82" t="e">
        <f>((E108*H108*K108)/$D$3)+#REF!</f>
        <v>#VALUE!</v>
      </c>
      <c r="P108" s="82" t="e">
        <f>((F108*I108*L108)/$D$3)+#REF!</f>
        <v>#VALUE!</v>
      </c>
      <c r="Q108" s="82"/>
    </row>
    <row r="109" spans="1:17" ht="12.75" hidden="1">
      <c r="A109" s="77">
        <v>98</v>
      </c>
      <c r="B109" s="77"/>
      <c r="C109" s="77"/>
      <c r="D109" s="77"/>
      <c r="E109" s="77"/>
      <c r="F109" s="77"/>
      <c r="G109" s="83"/>
      <c r="H109" s="77"/>
      <c r="I109" s="77"/>
      <c r="J109" s="77"/>
      <c r="K109" s="77"/>
      <c r="L109" s="77"/>
      <c r="N109" s="82">
        <f t="shared" si="0"/>
        <v>0</v>
      </c>
      <c r="O109" s="82" t="e">
        <f>((E109*H109*K109)/$D$3)+#REF!</f>
        <v>#VALUE!</v>
      </c>
      <c r="P109" s="82" t="e">
        <f>((F109*I109*L109)/$D$3)+#REF!</f>
        <v>#VALUE!</v>
      </c>
      <c r="Q109" s="82"/>
    </row>
    <row r="110" spans="1:17" ht="12.75" hidden="1">
      <c r="A110" s="77">
        <v>99</v>
      </c>
      <c r="B110" s="77"/>
      <c r="C110" s="77"/>
      <c r="D110" s="77"/>
      <c r="E110" s="77"/>
      <c r="F110" s="77"/>
      <c r="G110" s="83"/>
      <c r="H110" s="77"/>
      <c r="I110" s="77"/>
      <c r="J110" s="77"/>
      <c r="K110" s="77"/>
      <c r="L110" s="77"/>
      <c r="N110" s="82">
        <f t="shared" si="0"/>
        <v>0</v>
      </c>
      <c r="O110" s="82" t="e">
        <f>((E110*H110*K110)/$D$3)+#REF!</f>
        <v>#VALUE!</v>
      </c>
      <c r="P110" s="82" t="e">
        <f>((F110*I110*L110)/$D$3)+#REF!</f>
        <v>#VALUE!</v>
      </c>
      <c r="Q110" s="82"/>
    </row>
    <row r="111" spans="1:17" ht="12.75" hidden="1">
      <c r="A111" s="77">
        <v>100</v>
      </c>
      <c r="B111" s="77"/>
      <c r="C111" s="77"/>
      <c r="D111" s="77"/>
      <c r="E111" s="77"/>
      <c r="F111" s="77"/>
      <c r="G111" s="83"/>
      <c r="H111" s="77"/>
      <c r="I111" s="77"/>
      <c r="J111" s="77"/>
      <c r="K111" s="77"/>
      <c r="L111" s="77"/>
      <c r="N111" s="82">
        <f t="shared" si="0"/>
        <v>0</v>
      </c>
      <c r="O111" s="82" t="e">
        <f>((E111*H111*K111)/$D$3)+#REF!</f>
        <v>#VALUE!</v>
      </c>
      <c r="P111" s="82" t="e">
        <f>((F111*I111*L111)/$D$3)+#REF!</f>
        <v>#VALUE!</v>
      </c>
      <c r="Q111" s="82"/>
    </row>
    <row r="112" spans="14:17" ht="15.75">
      <c r="N112" s="84" t="s">
        <v>104</v>
      </c>
      <c r="O112" s="84"/>
      <c r="P112" s="84"/>
      <c r="Q112" s="82">
        <f>SUM(Q16:Q26)</f>
        <v>44038.6</v>
      </c>
    </row>
    <row r="114" ht="12.75">
      <c r="P114" s="85"/>
    </row>
  </sheetData>
  <sheetProtection selectLockedCells="1" selectUnlockedCells="1"/>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N112:P112"/>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tabColor indexed="22"/>
  </sheetPr>
  <dimension ref="A1:K12"/>
  <sheetViews>
    <sheetView workbookViewId="0" topLeftCell="A1">
      <selection activeCell="F7" sqref="F7"/>
    </sheetView>
  </sheetViews>
  <sheetFormatPr defaultColWidth="9.140625" defaultRowHeight="12.75"/>
  <cols>
    <col min="1" max="6" width="9.140625" style="0" customWidth="1"/>
    <col min="7" max="7" width="5.140625" style="0" customWidth="1"/>
    <col min="8" max="8" width="9.140625" style="0" customWidth="1"/>
    <col min="9" max="9" width="12.28125" style="0" customWidth="1"/>
    <col min="10" max="10" width="10.140625" style="0" customWidth="1"/>
  </cols>
  <sheetData>
    <row r="1" ht="15">
      <c r="A1" s="90" t="s">
        <v>616</v>
      </c>
    </row>
    <row r="3" spans="1:2" s="12" customFormat="1" ht="15">
      <c r="A3" s="103" t="s">
        <v>617</v>
      </c>
      <c r="B3" s="48" t="s">
        <v>618</v>
      </c>
    </row>
    <row r="4" spans="1:2" s="12" customFormat="1" ht="15.75">
      <c r="A4" s="48"/>
      <c r="B4" s="48"/>
    </row>
    <row r="5" spans="2:11" s="115" customFormat="1" ht="16.5" customHeight="1">
      <c r="B5" s="345" t="s">
        <v>619</v>
      </c>
      <c r="C5" s="346"/>
      <c r="D5" s="346"/>
      <c r="E5" s="347"/>
      <c r="F5" s="348" t="s">
        <v>620</v>
      </c>
      <c r="H5" s="59" t="s">
        <v>16</v>
      </c>
      <c r="I5" s="349"/>
      <c r="J5" s="349"/>
      <c r="K5" s="350"/>
    </row>
    <row r="6" spans="2:11" s="115" customFormat="1" ht="15.75" customHeight="1">
      <c r="B6" s="345" t="s">
        <v>621</v>
      </c>
      <c r="C6" s="346"/>
      <c r="D6" s="346"/>
      <c r="E6" s="347"/>
      <c r="F6" s="351"/>
      <c r="H6" s="17"/>
      <c r="I6" s="18"/>
      <c r="J6" s="18"/>
      <c r="K6" s="19"/>
    </row>
    <row r="7" spans="2:11" s="12" customFormat="1" ht="15.75" customHeight="1">
      <c r="B7" s="352" t="s">
        <v>622</v>
      </c>
      <c r="C7" s="353"/>
      <c r="D7" s="353"/>
      <c r="E7" s="354"/>
      <c r="F7" s="355">
        <v>0.06</v>
      </c>
      <c r="H7" s="20"/>
      <c r="I7" s="21"/>
      <c r="J7" s="22" t="s">
        <v>18</v>
      </c>
      <c r="K7" s="23"/>
    </row>
    <row r="8" spans="2:11" s="12" customFormat="1" ht="15" customHeight="1">
      <c r="B8" s="352" t="s">
        <v>623</v>
      </c>
      <c r="C8" s="353"/>
      <c r="D8" s="353"/>
      <c r="E8" s="354"/>
      <c r="F8" s="355">
        <v>0.07</v>
      </c>
      <c r="H8" s="20"/>
      <c r="I8" s="27"/>
      <c r="J8" s="22" t="s">
        <v>20</v>
      </c>
      <c r="K8" s="23"/>
    </row>
    <row r="9" spans="2:11" s="12" customFormat="1" ht="15.75">
      <c r="B9" s="352" t="s">
        <v>624</v>
      </c>
      <c r="C9" s="353"/>
      <c r="D9" s="353"/>
      <c r="E9" s="354"/>
      <c r="F9" s="355">
        <v>0.08</v>
      </c>
      <c r="H9" s="20"/>
      <c r="I9" s="28"/>
      <c r="J9" s="22" t="s">
        <v>22</v>
      </c>
      <c r="K9" s="23"/>
    </row>
    <row r="10" spans="2:11" s="12" customFormat="1" ht="16.5">
      <c r="B10" s="352" t="s">
        <v>625</v>
      </c>
      <c r="C10" s="353"/>
      <c r="D10" s="353"/>
      <c r="E10" s="354"/>
      <c r="F10" s="355">
        <v>0.09</v>
      </c>
      <c r="H10" s="29"/>
      <c r="I10" s="30"/>
      <c r="J10" s="30"/>
      <c r="K10" s="31"/>
    </row>
    <row r="11" spans="2:6" s="12" customFormat="1" ht="15.75">
      <c r="B11" s="352" t="s">
        <v>626</v>
      </c>
      <c r="C11" s="353"/>
      <c r="D11" s="353"/>
      <c r="E11" s="354"/>
      <c r="F11" s="355">
        <v>0.1</v>
      </c>
    </row>
    <row r="12" spans="2:6" ht="15.75">
      <c r="B12" s="356" t="s">
        <v>627</v>
      </c>
      <c r="C12" s="356"/>
      <c r="D12" s="356"/>
      <c r="E12" s="356"/>
      <c r="F12" s="355">
        <v>0.12</v>
      </c>
    </row>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A1" sqref="A1"/>
    </sheetView>
  </sheetViews>
  <sheetFormatPr defaultColWidth="9.140625" defaultRowHeight="12.75"/>
  <cols>
    <col min="1" max="1" width="6.7109375" style="0" customWidth="1"/>
    <col min="2" max="4" width="9.140625" style="0" customWidth="1"/>
    <col min="5" max="5" width="12.421875" style="0" customWidth="1"/>
    <col min="6" max="6" width="17.8515625" style="0" customWidth="1"/>
    <col min="7" max="7" width="9.140625" style="0" customWidth="1"/>
    <col min="8" max="8" width="1.57421875" style="0" customWidth="1"/>
    <col min="9" max="9" width="9.140625" style="0" customWidth="1"/>
    <col min="10" max="10" width="38.7109375" style="0" customWidth="1"/>
    <col min="11" max="11" width="0.85546875" style="0" customWidth="1"/>
  </cols>
  <sheetData>
    <row r="1" ht="12.75">
      <c r="A1" s="114" t="s">
        <v>628</v>
      </c>
    </row>
    <row r="3" spans="1:2" s="12" customFormat="1" ht="15">
      <c r="A3" s="103" t="s">
        <v>629</v>
      </c>
      <c r="B3" s="48" t="s">
        <v>630</v>
      </c>
    </row>
    <row r="4" spans="1:2" s="12" customFormat="1" ht="15.75">
      <c r="A4" s="48"/>
      <c r="B4" s="48"/>
    </row>
    <row r="5" spans="1:11" s="115" customFormat="1" ht="16.5" customHeight="1">
      <c r="A5" s="327" t="s">
        <v>631</v>
      </c>
      <c r="B5" s="327"/>
      <c r="C5" s="327"/>
      <c r="D5" s="327"/>
      <c r="E5" s="357" t="s">
        <v>632</v>
      </c>
      <c r="F5" s="357" t="s">
        <v>633</v>
      </c>
      <c r="H5" s="15" t="s">
        <v>16</v>
      </c>
      <c r="I5" s="15"/>
      <c r="J5" s="15"/>
      <c r="K5" s="15"/>
    </row>
    <row r="6" spans="1:11" s="115" customFormat="1" ht="15.75" customHeight="1">
      <c r="A6" s="327"/>
      <c r="B6" s="327"/>
      <c r="C6" s="327"/>
      <c r="D6" s="327"/>
      <c r="E6" s="358">
        <v>0.01</v>
      </c>
      <c r="F6" s="329">
        <v>0.0015</v>
      </c>
      <c r="H6" s="17"/>
      <c r="I6" s="18"/>
      <c r="J6" s="18"/>
      <c r="K6" s="19"/>
    </row>
    <row r="7" spans="1:11" s="12" customFormat="1" ht="15.75" customHeight="1">
      <c r="A7" s="48"/>
      <c r="B7" s="48"/>
      <c r="C7" s="48"/>
      <c r="D7" s="48"/>
      <c r="H7" s="20"/>
      <c r="I7" s="21"/>
      <c r="J7" s="22" t="s">
        <v>18</v>
      </c>
      <c r="K7" s="23"/>
    </row>
    <row r="8" spans="1:11" s="12" customFormat="1" ht="15" customHeight="1">
      <c r="A8"/>
      <c r="B8"/>
      <c r="C8"/>
      <c r="D8"/>
      <c r="E8"/>
      <c r="F8"/>
      <c r="H8" s="20"/>
      <c r="I8" s="27"/>
      <c r="J8" s="22" t="s">
        <v>20</v>
      </c>
      <c r="K8" s="23"/>
    </row>
    <row r="9" spans="1:11" s="12" customFormat="1" ht="15">
      <c r="A9"/>
      <c r="B9"/>
      <c r="C9"/>
      <c r="D9"/>
      <c r="E9"/>
      <c r="F9"/>
      <c r="H9" s="20"/>
      <c r="I9" s="28"/>
      <c r="J9" s="22" t="s">
        <v>22</v>
      </c>
      <c r="K9" s="23"/>
    </row>
    <row r="10" spans="1:11" s="12" customFormat="1" ht="15.75">
      <c r="A10"/>
      <c r="B10"/>
      <c r="C10"/>
      <c r="D10"/>
      <c r="E10"/>
      <c r="F10"/>
      <c r="H10" s="29"/>
      <c r="I10" s="30"/>
      <c r="J10" s="30"/>
      <c r="K10" s="31"/>
    </row>
    <row r="11" spans="1:6" s="12" customFormat="1" ht="15">
      <c r="A11"/>
      <c r="B11"/>
      <c r="C11"/>
      <c r="D11"/>
      <c r="E11"/>
      <c r="F11"/>
    </row>
  </sheetData>
  <sheetProtection selectLockedCells="1" selectUnlockedCells="1"/>
  <mergeCells count="2">
    <mergeCell ref="A5:D6"/>
    <mergeCell ref="H5:K5"/>
  </mergeCells>
  <hyperlinks>
    <hyperlink ref="A1" location="'2.1.c Insumos'!A1" display="ANEXO VIII – CUSTOS AMBIENTAIS"/>
  </hyperlinks>
  <printOptions/>
  <pageMargins left="0.5118055555555556" right="0.5118055555555556" top="0.7875" bottom="0.78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22"/>
  </sheetPr>
  <dimension ref="A1:N248"/>
  <sheetViews>
    <sheetView workbookViewId="0" topLeftCell="A128">
      <selection activeCell="F203" sqref="F203"/>
    </sheetView>
  </sheetViews>
  <sheetFormatPr defaultColWidth="9.140625" defaultRowHeight="12.75"/>
  <cols>
    <col min="1" max="1" width="5.57421875" style="12" customWidth="1"/>
    <col min="2" max="2" width="2.7109375" style="12" customWidth="1"/>
    <col min="3" max="3" width="3.57421875" style="12" customWidth="1"/>
    <col min="4" max="4" width="21.00390625" style="12" customWidth="1"/>
    <col min="5" max="5" width="19.00390625" style="12" customWidth="1"/>
    <col min="6" max="7" width="26.7109375" style="12" customWidth="1"/>
    <col min="8" max="9" width="26.8515625" style="12" customWidth="1"/>
    <col min="10" max="10" width="17.57421875" style="12" customWidth="1"/>
    <col min="11" max="11" width="4.421875" style="12" customWidth="1"/>
    <col min="12" max="12" width="11.421875" style="12" customWidth="1"/>
    <col min="13" max="13" width="42.57421875" style="12" customWidth="1"/>
    <col min="14" max="14" width="11.8515625" style="12" customWidth="1"/>
    <col min="15" max="16384" width="11.421875" style="12" customWidth="1"/>
  </cols>
  <sheetData>
    <row r="1" ht="15">
      <c r="A1" s="114" t="s">
        <v>634</v>
      </c>
    </row>
    <row r="3" ht="15">
      <c r="A3" s="48" t="s">
        <v>635</v>
      </c>
    </row>
    <row r="5" spans="1:2" ht="15.75">
      <c r="A5" s="48" t="s">
        <v>636</v>
      </c>
      <c r="B5" s="48" t="s">
        <v>637</v>
      </c>
    </row>
    <row r="6" spans="1:14" ht="15.75">
      <c r="A6" s="359" t="s">
        <v>150</v>
      </c>
      <c r="B6" s="359"/>
      <c r="C6" s="359"/>
      <c r="D6" s="359"/>
      <c r="E6" s="333" t="s">
        <v>638</v>
      </c>
      <c r="F6" s="359" t="s">
        <v>639</v>
      </c>
      <c r="K6" s="15" t="s">
        <v>16</v>
      </c>
      <c r="L6" s="15"/>
      <c r="M6" s="15"/>
      <c r="N6" s="15"/>
    </row>
    <row r="7" spans="1:14" ht="15">
      <c r="A7" s="359"/>
      <c r="B7" s="359"/>
      <c r="C7" s="359"/>
      <c r="D7" s="359"/>
      <c r="E7" s="333"/>
      <c r="F7" s="359"/>
      <c r="K7" s="17"/>
      <c r="L7" s="18"/>
      <c r="M7" s="18"/>
      <c r="N7" s="19"/>
    </row>
    <row r="8" spans="1:14" ht="15" customHeight="1" hidden="1">
      <c r="A8" s="360" t="s">
        <v>122</v>
      </c>
      <c r="B8" s="360"/>
      <c r="C8" s="360"/>
      <c r="D8" s="360"/>
      <c r="E8" s="361">
        <v>5</v>
      </c>
      <c r="F8" s="362">
        <v>0.15</v>
      </c>
      <c r="G8" s="49"/>
      <c r="K8" s="20"/>
      <c r="L8" s="21"/>
      <c r="M8" s="22" t="s">
        <v>18</v>
      </c>
      <c r="N8" s="23"/>
    </row>
    <row r="9" spans="1:14" ht="15" hidden="1">
      <c r="A9" s="360" t="s">
        <v>126</v>
      </c>
      <c r="B9" s="360"/>
      <c r="C9" s="360"/>
      <c r="D9" s="360"/>
      <c r="E9" s="361"/>
      <c r="F9" s="362"/>
      <c r="G9" s="49"/>
      <c r="K9" s="20"/>
      <c r="L9" s="27"/>
      <c r="M9" s="22" t="s">
        <v>20</v>
      </c>
      <c r="N9" s="23"/>
    </row>
    <row r="10" spans="1:14" ht="15" customHeight="1" hidden="1">
      <c r="A10" s="360" t="s">
        <v>130</v>
      </c>
      <c r="B10" s="360"/>
      <c r="C10" s="360"/>
      <c r="D10" s="360"/>
      <c r="E10" s="361">
        <v>8</v>
      </c>
      <c r="F10" s="362">
        <v>0.1</v>
      </c>
      <c r="G10" s="49"/>
      <c r="K10" s="20"/>
      <c r="L10" s="28"/>
      <c r="M10" s="22" t="s">
        <v>22</v>
      </c>
      <c r="N10" s="23"/>
    </row>
    <row r="11" spans="1:14" ht="15.75">
      <c r="A11" s="360" t="s">
        <v>134</v>
      </c>
      <c r="B11" s="360"/>
      <c r="C11" s="360"/>
      <c r="D11" s="360"/>
      <c r="E11" s="361"/>
      <c r="F11" s="362"/>
      <c r="G11" s="49"/>
      <c r="K11" s="29"/>
      <c r="L11" s="30"/>
      <c r="M11" s="30"/>
      <c r="N11" s="31"/>
    </row>
    <row r="12" spans="1:7" ht="15" customHeight="1">
      <c r="A12" s="360" t="s">
        <v>138</v>
      </c>
      <c r="B12" s="360"/>
      <c r="C12" s="360"/>
      <c r="D12" s="360"/>
      <c r="E12" s="361">
        <v>10</v>
      </c>
      <c r="F12" s="363">
        <v>0.1</v>
      </c>
      <c r="G12" s="49"/>
    </row>
    <row r="13" spans="1:7" ht="15" hidden="1">
      <c r="A13" s="360" t="s">
        <v>140</v>
      </c>
      <c r="B13" s="360"/>
      <c r="C13" s="360"/>
      <c r="D13" s="360"/>
      <c r="E13" s="361">
        <v>12</v>
      </c>
      <c r="F13" s="362">
        <v>0.05</v>
      </c>
      <c r="G13" s="49"/>
    </row>
    <row r="14" spans="1:7" ht="15" hidden="1">
      <c r="A14" s="360" t="s">
        <v>144</v>
      </c>
      <c r="B14" s="360"/>
      <c r="C14" s="360"/>
      <c r="D14" s="360"/>
      <c r="E14" s="361"/>
      <c r="F14" s="362"/>
      <c r="G14" s="49"/>
    </row>
    <row r="15" spans="1:7" s="115" customFormat="1" ht="15">
      <c r="A15" s="364"/>
      <c r="B15" s="364"/>
      <c r="C15" s="364"/>
      <c r="D15" s="364"/>
      <c r="E15" s="365"/>
      <c r="F15" s="366"/>
      <c r="G15" s="367"/>
    </row>
    <row r="16" spans="1:2" ht="15">
      <c r="A16" s="48" t="s">
        <v>640</v>
      </c>
      <c r="B16" s="48" t="s">
        <v>641</v>
      </c>
    </row>
    <row r="17" spans="1:8" s="123" customFormat="1" ht="15" customHeight="1">
      <c r="A17" s="368" t="s">
        <v>642</v>
      </c>
      <c r="B17" s="368"/>
      <c r="C17" s="368"/>
      <c r="D17" s="369"/>
      <c r="E17" s="368" t="s">
        <v>643</v>
      </c>
      <c r="F17" s="368" t="s">
        <v>644</v>
      </c>
      <c r="G17" s="370"/>
      <c r="H17" s="369"/>
    </row>
    <row r="18" spans="1:8" s="123" customFormat="1" ht="15" customHeight="1">
      <c r="A18" s="368"/>
      <c r="B18" s="368"/>
      <c r="C18" s="368"/>
      <c r="D18" s="369"/>
      <c r="E18" s="368"/>
      <c r="F18" s="368"/>
      <c r="G18" s="370"/>
      <c r="H18" s="369"/>
    </row>
    <row r="19" spans="1:8" ht="15" customHeight="1">
      <c r="A19" s="371">
        <v>0</v>
      </c>
      <c r="B19" s="372" t="s">
        <v>645</v>
      </c>
      <c r="C19" s="373">
        <v>1</v>
      </c>
      <c r="D19" s="369"/>
      <c r="E19" s="374">
        <f aca="true" t="shared" si="0" ref="E19:E27">(1-$F$10)*($E$10-C19+1)/36/12</f>
        <v>0.016666666666666666</v>
      </c>
      <c r="F19" s="374">
        <f aca="true" t="shared" si="1" ref="F19:F29">(1-$F$12)*($E$12-C19+1)/55/12</f>
        <v>0.013636363636363636</v>
      </c>
      <c r="G19" s="370"/>
      <c r="H19" s="369"/>
    </row>
    <row r="20" spans="1:8" ht="15" customHeight="1">
      <c r="A20" s="371">
        <v>1</v>
      </c>
      <c r="B20" s="372" t="s">
        <v>645</v>
      </c>
      <c r="C20" s="373">
        <v>2</v>
      </c>
      <c r="D20" s="369"/>
      <c r="E20" s="374">
        <f t="shared" si="0"/>
        <v>0.014583333333333332</v>
      </c>
      <c r="F20" s="374">
        <f t="shared" si="1"/>
        <v>0.012272727272727274</v>
      </c>
      <c r="G20" s="370"/>
      <c r="H20" s="369"/>
    </row>
    <row r="21" spans="1:8" ht="15" customHeight="1">
      <c r="A21" s="371">
        <v>2</v>
      </c>
      <c r="B21" s="372" t="s">
        <v>645</v>
      </c>
      <c r="C21" s="373">
        <v>3</v>
      </c>
      <c r="D21" s="369"/>
      <c r="E21" s="374">
        <f t="shared" si="0"/>
        <v>0.012500000000000002</v>
      </c>
      <c r="F21" s="374">
        <f t="shared" si="1"/>
        <v>0.01090909090909091</v>
      </c>
      <c r="G21" s="370"/>
      <c r="H21" s="369"/>
    </row>
    <row r="22" spans="1:8" ht="15" customHeight="1">
      <c r="A22" s="371">
        <v>3</v>
      </c>
      <c r="B22" s="372" t="s">
        <v>645</v>
      </c>
      <c r="C22" s="373">
        <v>4</v>
      </c>
      <c r="D22" s="369"/>
      <c r="E22" s="374">
        <f t="shared" si="0"/>
        <v>0.010416666666666666</v>
      </c>
      <c r="F22" s="374">
        <f t="shared" si="1"/>
        <v>0.009545454545454546</v>
      </c>
      <c r="G22" s="370"/>
      <c r="H22" s="369"/>
    </row>
    <row r="23" spans="1:8" ht="15" customHeight="1">
      <c r="A23" s="371">
        <v>4</v>
      </c>
      <c r="B23" s="372" t="s">
        <v>645</v>
      </c>
      <c r="C23" s="373">
        <v>5</v>
      </c>
      <c r="D23" s="369"/>
      <c r="E23" s="374">
        <f t="shared" si="0"/>
        <v>0.008333333333333333</v>
      </c>
      <c r="F23" s="374">
        <f t="shared" si="1"/>
        <v>0.008181818181818182</v>
      </c>
      <c r="G23" s="370"/>
      <c r="H23" s="369"/>
    </row>
    <row r="24" spans="1:8" ht="15" customHeight="1">
      <c r="A24" s="371">
        <v>5</v>
      </c>
      <c r="B24" s="372" t="s">
        <v>645</v>
      </c>
      <c r="C24" s="373">
        <v>6</v>
      </c>
      <c r="D24" s="369"/>
      <c r="E24" s="374">
        <f t="shared" si="0"/>
        <v>0.006250000000000001</v>
      </c>
      <c r="F24" s="374">
        <f t="shared" si="1"/>
        <v>0.006818181818181818</v>
      </c>
      <c r="G24" s="370"/>
      <c r="H24" s="369"/>
    </row>
    <row r="25" spans="1:8" ht="15" customHeight="1">
      <c r="A25" s="371">
        <v>6</v>
      </c>
      <c r="B25" s="372" t="s">
        <v>645</v>
      </c>
      <c r="C25" s="373">
        <v>7</v>
      </c>
      <c r="D25" s="369"/>
      <c r="E25" s="374">
        <f t="shared" si="0"/>
        <v>0.004166666666666667</v>
      </c>
      <c r="F25" s="374">
        <f t="shared" si="1"/>
        <v>0.005454545454545455</v>
      </c>
      <c r="G25" s="370"/>
      <c r="H25" s="369"/>
    </row>
    <row r="26" spans="1:8" ht="15" customHeight="1">
      <c r="A26" s="371">
        <v>7</v>
      </c>
      <c r="B26" s="372" t="s">
        <v>645</v>
      </c>
      <c r="C26" s="373">
        <v>8</v>
      </c>
      <c r="D26" s="369"/>
      <c r="E26" s="374">
        <f t="shared" si="0"/>
        <v>0.0020833333333333333</v>
      </c>
      <c r="F26" s="374">
        <f t="shared" si="1"/>
        <v>0.004090909090909091</v>
      </c>
      <c r="G26" s="370"/>
      <c r="H26" s="369"/>
    </row>
    <row r="27" spans="1:8" ht="15" customHeight="1">
      <c r="A27" s="371">
        <v>8</v>
      </c>
      <c r="B27" s="372" t="s">
        <v>645</v>
      </c>
      <c r="C27" s="373">
        <v>9</v>
      </c>
      <c r="D27" s="369"/>
      <c r="E27" s="374">
        <f t="shared" si="0"/>
        <v>0</v>
      </c>
      <c r="F27" s="374">
        <f t="shared" si="1"/>
        <v>0.0027272727272727275</v>
      </c>
      <c r="G27" s="370"/>
      <c r="H27" s="369"/>
    </row>
    <row r="28" spans="1:8" ht="15" customHeight="1">
      <c r="A28" s="371">
        <v>9</v>
      </c>
      <c r="B28" s="372" t="s">
        <v>645</v>
      </c>
      <c r="C28" s="373">
        <v>10</v>
      </c>
      <c r="D28" s="369"/>
      <c r="E28" s="374"/>
      <c r="F28" s="374">
        <f t="shared" si="1"/>
        <v>0.0013636363636363637</v>
      </c>
      <c r="G28" s="370"/>
      <c r="H28" s="369"/>
    </row>
    <row r="29" spans="1:8" ht="15" customHeight="1">
      <c r="A29" s="371">
        <v>10</v>
      </c>
      <c r="B29" s="372" t="s">
        <v>645</v>
      </c>
      <c r="C29" s="373">
        <v>11</v>
      </c>
      <c r="D29" s="369"/>
      <c r="E29" s="374"/>
      <c r="F29" s="374">
        <f t="shared" si="1"/>
        <v>0</v>
      </c>
      <c r="G29" s="370"/>
      <c r="H29" s="369"/>
    </row>
    <row r="30" spans="1:8" ht="15" customHeight="1">
      <c r="A30" s="371">
        <v>11</v>
      </c>
      <c r="B30" s="372" t="s">
        <v>645</v>
      </c>
      <c r="C30" s="373">
        <v>12</v>
      </c>
      <c r="D30" s="369"/>
      <c r="E30" s="374"/>
      <c r="F30" s="374"/>
      <c r="G30" s="370"/>
      <c r="H30" s="369"/>
    </row>
    <row r="31" spans="1:8" ht="15" customHeight="1">
      <c r="A31" s="371"/>
      <c r="B31" s="372" t="s">
        <v>646</v>
      </c>
      <c r="C31" s="373">
        <v>12</v>
      </c>
      <c r="D31" s="369"/>
      <c r="E31" s="374"/>
      <c r="F31" s="374"/>
      <c r="G31" s="370"/>
      <c r="H31" s="369"/>
    </row>
    <row r="32" spans="1:4" ht="15" customHeight="1">
      <c r="A32" s="48"/>
      <c r="B32" s="48"/>
      <c r="C32" s="48"/>
      <c r="D32" s="48"/>
    </row>
    <row r="33" spans="1:2" ht="15.75">
      <c r="A33" s="48" t="s">
        <v>647</v>
      </c>
      <c r="B33" s="48" t="s">
        <v>648</v>
      </c>
    </row>
    <row r="34" spans="1:9" ht="15">
      <c r="A34" s="375" t="s">
        <v>150</v>
      </c>
      <c r="B34" s="375"/>
      <c r="C34" s="375"/>
      <c r="D34" s="375"/>
      <c r="E34" s="376" t="s">
        <v>158</v>
      </c>
      <c r="F34" s="377" t="s">
        <v>151</v>
      </c>
      <c r="G34" s="377"/>
      <c r="H34" s="378" t="s">
        <v>152</v>
      </c>
      <c r="I34" s="378"/>
    </row>
    <row r="35" spans="1:9" ht="15.75">
      <c r="A35" s="375"/>
      <c r="B35" s="375"/>
      <c r="C35" s="375"/>
      <c r="D35" s="375"/>
      <c r="E35" s="376"/>
      <c r="F35" s="379" t="s">
        <v>153</v>
      </c>
      <c r="G35" s="379" t="s">
        <v>154</v>
      </c>
      <c r="H35" s="379" t="s">
        <v>153</v>
      </c>
      <c r="I35" s="380" t="s">
        <v>154</v>
      </c>
    </row>
    <row r="36" spans="1:12" ht="15">
      <c r="A36" s="381" t="s">
        <v>159</v>
      </c>
      <c r="B36" s="381"/>
      <c r="C36" s="381"/>
      <c r="D36" s="381"/>
      <c r="E36" s="382">
        <v>0</v>
      </c>
      <c r="F36" s="383">
        <f>'1.3 Frota Total'!E31</f>
        <v>0</v>
      </c>
      <c r="G36" s="383">
        <f>'1.3 Frota Total'!F31</f>
        <v>0</v>
      </c>
      <c r="H36" s="383">
        <f>'1.3 Frota Total'!G31</f>
        <v>0</v>
      </c>
      <c r="I36" s="384">
        <f>'1.3 Frota Total'!H31</f>
        <v>0</v>
      </c>
      <c r="L36" s="95"/>
    </row>
    <row r="37" spans="1:9" ht="15">
      <c r="A37" s="381"/>
      <c r="B37" s="381"/>
      <c r="C37" s="381"/>
      <c r="D37" s="381"/>
      <c r="E37" s="385">
        <v>1</v>
      </c>
      <c r="F37" s="386">
        <f>'1.3 Frota Total'!E32</f>
        <v>0</v>
      </c>
      <c r="G37" s="386">
        <f>'1.3 Frota Total'!F32</f>
        <v>0</v>
      </c>
      <c r="H37" s="386">
        <f>'1.3 Frota Total'!G32</f>
        <v>0</v>
      </c>
      <c r="I37" s="387">
        <f>'1.3 Frota Total'!H32</f>
        <v>0</v>
      </c>
    </row>
    <row r="38" spans="1:9" ht="15">
      <c r="A38" s="381"/>
      <c r="B38" s="381"/>
      <c r="C38" s="381"/>
      <c r="D38" s="381"/>
      <c r="E38" s="385">
        <v>2</v>
      </c>
      <c r="F38" s="386">
        <f>'1.3 Frota Total'!E33</f>
        <v>0</v>
      </c>
      <c r="G38" s="386">
        <f>'1.3 Frota Total'!F33</f>
        <v>0</v>
      </c>
      <c r="H38" s="386">
        <f>'1.3 Frota Total'!G33</f>
        <v>0</v>
      </c>
      <c r="I38" s="387">
        <f>'1.3 Frota Total'!H33</f>
        <v>0</v>
      </c>
    </row>
    <row r="39" spans="1:9" ht="15">
      <c r="A39" s="381"/>
      <c r="B39" s="381"/>
      <c r="C39" s="381"/>
      <c r="D39" s="381"/>
      <c r="E39" s="385">
        <v>3</v>
      </c>
      <c r="F39" s="386">
        <f>'1.3 Frota Total'!E34</f>
        <v>0</v>
      </c>
      <c r="G39" s="386">
        <f>'1.3 Frota Total'!F34</f>
        <v>0</v>
      </c>
      <c r="H39" s="386">
        <f>'1.3 Frota Total'!G34</f>
        <v>0</v>
      </c>
      <c r="I39" s="387">
        <f>'1.3 Frota Total'!H34</f>
        <v>0</v>
      </c>
    </row>
    <row r="40" spans="1:9" ht="15">
      <c r="A40" s="381"/>
      <c r="B40" s="381"/>
      <c r="C40" s="381"/>
      <c r="D40" s="381"/>
      <c r="E40" s="385">
        <v>4</v>
      </c>
      <c r="F40" s="386">
        <f>'1.3 Frota Total'!E35</f>
        <v>0</v>
      </c>
      <c r="G40" s="386">
        <f>'1.3 Frota Total'!F35</f>
        <v>0</v>
      </c>
      <c r="H40" s="386">
        <f>'1.3 Frota Total'!G35</f>
        <v>0</v>
      </c>
      <c r="I40" s="387">
        <f>'1.3 Frota Total'!H35</f>
        <v>0</v>
      </c>
    </row>
    <row r="41" spans="1:9" ht="15.75">
      <c r="A41" s="381"/>
      <c r="B41" s="381"/>
      <c r="C41" s="381"/>
      <c r="D41" s="381"/>
      <c r="E41" s="388">
        <v>5</v>
      </c>
      <c r="F41" s="389">
        <f>'1.3 Frota Total'!E36</f>
        <v>0</v>
      </c>
      <c r="G41" s="389">
        <f>'1.3 Frota Total'!F36</f>
        <v>0</v>
      </c>
      <c r="H41" s="389">
        <f>'1.3 Frota Total'!G36</f>
        <v>0</v>
      </c>
      <c r="I41" s="390">
        <f>'1.3 Frota Total'!H36</f>
        <v>0</v>
      </c>
    </row>
    <row r="42" spans="1:9" ht="15">
      <c r="A42" s="391" t="s">
        <v>126</v>
      </c>
      <c r="B42" s="391"/>
      <c r="C42" s="391"/>
      <c r="D42" s="391"/>
      <c r="E42" s="382">
        <v>0</v>
      </c>
      <c r="F42" s="383">
        <f>'1.3 Frota Total'!E37</f>
        <v>0</v>
      </c>
      <c r="G42" s="383">
        <f>'1.3 Frota Total'!F37</f>
        <v>0</v>
      </c>
      <c r="H42" s="383">
        <f>'1.3 Frota Total'!G37</f>
        <v>0</v>
      </c>
      <c r="I42" s="384">
        <f>'1.3 Frota Total'!H37</f>
        <v>0</v>
      </c>
    </row>
    <row r="43" spans="1:9" ht="15">
      <c r="A43" s="391"/>
      <c r="B43" s="391"/>
      <c r="C43" s="391"/>
      <c r="D43" s="391"/>
      <c r="E43" s="385">
        <v>1</v>
      </c>
      <c r="F43" s="386">
        <f>'1.3 Frota Total'!E38</f>
        <v>0</v>
      </c>
      <c r="G43" s="386">
        <f>'1.3 Frota Total'!F38</f>
        <v>0</v>
      </c>
      <c r="H43" s="386">
        <f>'1.3 Frota Total'!G38</f>
        <v>0</v>
      </c>
      <c r="I43" s="387">
        <f>'1.3 Frota Total'!H38</f>
        <v>0</v>
      </c>
    </row>
    <row r="44" spans="1:9" ht="15">
      <c r="A44" s="391"/>
      <c r="B44" s="391"/>
      <c r="C44" s="391"/>
      <c r="D44" s="391"/>
      <c r="E44" s="385">
        <v>2</v>
      </c>
      <c r="F44" s="386">
        <f>'1.3 Frota Total'!E39</f>
        <v>0</v>
      </c>
      <c r="G44" s="386">
        <f>'1.3 Frota Total'!F39</f>
        <v>0</v>
      </c>
      <c r="H44" s="386">
        <f>'1.3 Frota Total'!G39</f>
        <v>0</v>
      </c>
      <c r="I44" s="387">
        <f>'1.3 Frota Total'!H39</f>
        <v>0</v>
      </c>
    </row>
    <row r="45" spans="1:9" ht="15">
      <c r="A45" s="391"/>
      <c r="B45" s="391"/>
      <c r="C45" s="391"/>
      <c r="D45" s="391"/>
      <c r="E45" s="385">
        <v>3</v>
      </c>
      <c r="F45" s="386">
        <f>'1.3 Frota Total'!E40</f>
        <v>0</v>
      </c>
      <c r="G45" s="386">
        <f>'1.3 Frota Total'!F40</f>
        <v>0</v>
      </c>
      <c r="H45" s="386">
        <f>'1.3 Frota Total'!G40</f>
        <v>0</v>
      </c>
      <c r="I45" s="387">
        <f>'1.3 Frota Total'!H40</f>
        <v>0</v>
      </c>
    </row>
    <row r="46" spans="1:9" ht="15">
      <c r="A46" s="391"/>
      <c r="B46" s="391"/>
      <c r="C46" s="391"/>
      <c r="D46" s="391"/>
      <c r="E46" s="385">
        <v>4</v>
      </c>
      <c r="F46" s="386">
        <f>'1.3 Frota Total'!E41</f>
        <v>0</v>
      </c>
      <c r="G46" s="386">
        <f>'1.3 Frota Total'!F41</f>
        <v>0</v>
      </c>
      <c r="H46" s="386">
        <f>'1.3 Frota Total'!G41</f>
        <v>0</v>
      </c>
      <c r="I46" s="387">
        <f>'1.3 Frota Total'!H41</f>
        <v>0</v>
      </c>
    </row>
    <row r="47" spans="1:9" ht="15.75">
      <c r="A47" s="391"/>
      <c r="B47" s="391"/>
      <c r="C47" s="391"/>
      <c r="D47" s="391"/>
      <c r="E47" s="392">
        <v>5</v>
      </c>
      <c r="F47" s="393">
        <f>'1.3 Frota Total'!E42</f>
        <v>0</v>
      </c>
      <c r="G47" s="393">
        <f>'1.3 Frota Total'!F42</f>
        <v>0</v>
      </c>
      <c r="H47" s="393">
        <f>'1.3 Frota Total'!G42</f>
        <v>0</v>
      </c>
      <c r="I47" s="394">
        <f>'1.3 Frota Total'!H42</f>
        <v>0</v>
      </c>
    </row>
    <row r="48" spans="1:9" ht="15">
      <c r="A48" s="391" t="s">
        <v>130</v>
      </c>
      <c r="B48" s="391"/>
      <c r="C48" s="391"/>
      <c r="D48" s="391"/>
      <c r="E48" s="382">
        <v>0</v>
      </c>
      <c r="F48" s="383">
        <f>'1.3 Frota Total'!E43</f>
        <v>0</v>
      </c>
      <c r="G48" s="383">
        <f>'1.3 Frota Total'!F43</f>
        <v>0</v>
      </c>
      <c r="H48" s="383">
        <f>'1.3 Frota Total'!G43</f>
        <v>0</v>
      </c>
      <c r="I48" s="384">
        <f>'1.3 Frota Total'!H43</f>
        <v>0</v>
      </c>
    </row>
    <row r="49" spans="1:9" ht="15">
      <c r="A49" s="391"/>
      <c r="B49" s="391"/>
      <c r="C49" s="391"/>
      <c r="D49" s="391"/>
      <c r="E49" s="385">
        <v>1</v>
      </c>
      <c r="F49" s="386">
        <f>'1.3 Frota Total'!E44</f>
        <v>0</v>
      </c>
      <c r="G49" s="386">
        <f>'1.3 Frota Total'!F44</f>
        <v>0</v>
      </c>
      <c r="H49" s="386">
        <f>'1.3 Frota Total'!G44</f>
        <v>0</v>
      </c>
      <c r="I49" s="387">
        <f>'1.3 Frota Total'!H44</f>
        <v>0</v>
      </c>
    </row>
    <row r="50" spans="1:9" ht="15">
      <c r="A50" s="391"/>
      <c r="B50" s="391"/>
      <c r="C50" s="391"/>
      <c r="D50" s="391"/>
      <c r="E50" s="385">
        <v>2</v>
      </c>
      <c r="F50" s="386">
        <f>'1.3 Frota Total'!E45</f>
        <v>0</v>
      </c>
      <c r="G50" s="386">
        <f>'1.3 Frota Total'!F45</f>
        <v>0</v>
      </c>
      <c r="H50" s="386">
        <f>'1.3 Frota Total'!G45</f>
        <v>0</v>
      </c>
      <c r="I50" s="387">
        <f>'1.3 Frota Total'!H45</f>
        <v>0</v>
      </c>
    </row>
    <row r="51" spans="1:9" ht="15">
      <c r="A51" s="391"/>
      <c r="B51" s="391"/>
      <c r="C51" s="391"/>
      <c r="D51" s="391"/>
      <c r="E51" s="385">
        <v>3</v>
      </c>
      <c r="F51" s="386">
        <f>'1.3 Frota Total'!E46</f>
        <v>0</v>
      </c>
      <c r="G51" s="386">
        <f>'1.3 Frota Total'!F46</f>
        <v>0</v>
      </c>
      <c r="H51" s="386">
        <f>'1.3 Frota Total'!G46</f>
        <v>0</v>
      </c>
      <c r="I51" s="387">
        <f>'1.3 Frota Total'!H46</f>
        <v>0</v>
      </c>
    </row>
    <row r="52" spans="1:9" ht="15">
      <c r="A52" s="391"/>
      <c r="B52" s="391"/>
      <c r="C52" s="391"/>
      <c r="D52" s="391"/>
      <c r="E52" s="385">
        <v>4</v>
      </c>
      <c r="F52" s="386">
        <f>'1.3 Frota Total'!E47</f>
        <v>0</v>
      </c>
      <c r="G52" s="386">
        <f>'1.3 Frota Total'!F47</f>
        <v>0</v>
      </c>
      <c r="H52" s="386">
        <f>'1.3 Frota Total'!G47</f>
        <v>0</v>
      </c>
      <c r="I52" s="387">
        <f>'1.3 Frota Total'!H47</f>
        <v>0</v>
      </c>
    </row>
    <row r="53" spans="1:9" ht="15">
      <c r="A53" s="391"/>
      <c r="B53" s="391"/>
      <c r="C53" s="391"/>
      <c r="D53" s="391"/>
      <c r="E53" s="385">
        <v>5</v>
      </c>
      <c r="F53" s="386">
        <f>'1.3 Frota Total'!E48</f>
        <v>0</v>
      </c>
      <c r="G53" s="386">
        <f>'1.3 Frota Total'!F48</f>
        <v>0</v>
      </c>
      <c r="H53" s="386">
        <f>'1.3 Frota Total'!G48</f>
        <v>0</v>
      </c>
      <c r="I53" s="387">
        <f>'1.3 Frota Total'!H48</f>
        <v>0</v>
      </c>
    </row>
    <row r="54" spans="1:9" ht="15">
      <c r="A54" s="391"/>
      <c r="B54" s="391"/>
      <c r="C54" s="391"/>
      <c r="D54" s="391"/>
      <c r="E54" s="385">
        <v>6</v>
      </c>
      <c r="F54" s="386">
        <f>'1.3 Frota Total'!E49</f>
        <v>0</v>
      </c>
      <c r="G54" s="386">
        <f>'1.3 Frota Total'!F49</f>
        <v>0</v>
      </c>
      <c r="H54" s="386">
        <f>'1.3 Frota Total'!G49</f>
        <v>0</v>
      </c>
      <c r="I54" s="387">
        <f>'1.3 Frota Total'!H49</f>
        <v>0</v>
      </c>
    </row>
    <row r="55" spans="1:9" ht="15">
      <c r="A55" s="391"/>
      <c r="B55" s="391"/>
      <c r="C55" s="391"/>
      <c r="D55" s="391"/>
      <c r="E55" s="385">
        <v>7</v>
      </c>
      <c r="F55" s="386">
        <f>'1.3 Frota Total'!E50</f>
        <v>0</v>
      </c>
      <c r="G55" s="386">
        <f>'1.3 Frota Total'!F50</f>
        <v>0</v>
      </c>
      <c r="H55" s="386">
        <f>'1.3 Frota Total'!G50</f>
        <v>0</v>
      </c>
      <c r="I55" s="387">
        <f>'1.3 Frota Total'!H50</f>
        <v>0</v>
      </c>
    </row>
    <row r="56" spans="1:9" ht="15.75">
      <c r="A56" s="391"/>
      <c r="B56" s="391"/>
      <c r="C56" s="391"/>
      <c r="D56" s="391"/>
      <c r="E56" s="392">
        <v>8</v>
      </c>
      <c r="F56" s="393">
        <f>'1.3 Frota Total'!E51</f>
        <v>0</v>
      </c>
      <c r="G56" s="393">
        <f>'1.3 Frota Total'!F51</f>
        <v>0</v>
      </c>
      <c r="H56" s="393">
        <f>'1.3 Frota Total'!G51</f>
        <v>0</v>
      </c>
      <c r="I56" s="394">
        <f>'1.3 Frota Total'!H51</f>
        <v>0</v>
      </c>
    </row>
    <row r="57" spans="1:12" ht="15">
      <c r="A57" s="381" t="s">
        <v>134</v>
      </c>
      <c r="B57" s="381"/>
      <c r="C57" s="381"/>
      <c r="D57" s="381"/>
      <c r="E57" s="382">
        <v>0</v>
      </c>
      <c r="F57" s="383">
        <f>'1.3 Frota Total'!E52</f>
        <v>0</v>
      </c>
      <c r="G57" s="383">
        <f>'1.3 Frota Total'!F52</f>
        <v>0</v>
      </c>
      <c r="H57" s="383">
        <f>'1.3 Frota Total'!G52</f>
        <v>0</v>
      </c>
      <c r="I57" s="384">
        <f>'1.3 Frota Total'!H52</f>
        <v>0</v>
      </c>
      <c r="L57" s="95"/>
    </row>
    <row r="58" spans="1:9" ht="15">
      <c r="A58" s="381"/>
      <c r="B58" s="381"/>
      <c r="C58" s="381"/>
      <c r="D58" s="381"/>
      <c r="E58" s="385">
        <v>1</v>
      </c>
      <c r="F58" s="386">
        <f>'1.3 Frota Total'!E53</f>
        <v>0</v>
      </c>
      <c r="G58" s="386">
        <f>'1.3 Frota Total'!F53</f>
        <v>0</v>
      </c>
      <c r="H58" s="386">
        <f>'1.3 Frota Total'!G53</f>
        <v>0</v>
      </c>
      <c r="I58" s="387">
        <f>'1.3 Frota Total'!H53</f>
        <v>0</v>
      </c>
    </row>
    <row r="59" spans="1:9" ht="15">
      <c r="A59" s="381"/>
      <c r="B59" s="381"/>
      <c r="C59" s="381"/>
      <c r="D59" s="381"/>
      <c r="E59" s="385">
        <v>2</v>
      </c>
      <c r="F59" s="386">
        <v>0</v>
      </c>
      <c r="G59" s="386">
        <f>'1.3 Frota Total'!F54</f>
        <v>0</v>
      </c>
      <c r="H59" s="386">
        <v>0</v>
      </c>
      <c r="I59" s="387">
        <f>'1.3 Frota Total'!H54</f>
        <v>0</v>
      </c>
    </row>
    <row r="60" spans="1:9" ht="15">
      <c r="A60" s="381"/>
      <c r="B60" s="381"/>
      <c r="C60" s="381"/>
      <c r="D60" s="381"/>
      <c r="E60" s="385">
        <v>3</v>
      </c>
      <c r="F60" s="386">
        <f>'1.3 Frota Total'!E55</f>
        <v>0</v>
      </c>
      <c r="G60" s="386">
        <f>'1.3 Frota Total'!F55</f>
        <v>0</v>
      </c>
      <c r="H60" s="386">
        <f>'1.3 Frota Total'!G55</f>
        <v>0</v>
      </c>
      <c r="I60" s="387">
        <f>'1.3 Frota Total'!H55</f>
        <v>0</v>
      </c>
    </row>
    <row r="61" spans="1:9" ht="15">
      <c r="A61" s="381"/>
      <c r="B61" s="381"/>
      <c r="C61" s="381"/>
      <c r="D61" s="381"/>
      <c r="E61" s="385">
        <v>4</v>
      </c>
      <c r="F61" s="386">
        <f>'1.3 Frota Total'!E56</f>
        <v>2</v>
      </c>
      <c r="G61" s="386">
        <f>'1.3 Frota Total'!F56</f>
        <v>0</v>
      </c>
      <c r="H61" s="386">
        <f>'1.3 Frota Total'!G56</f>
        <v>0</v>
      </c>
      <c r="I61" s="387">
        <f>'1.3 Frota Total'!H56</f>
        <v>0</v>
      </c>
    </row>
    <row r="62" spans="1:9" ht="15">
      <c r="A62" s="381"/>
      <c r="B62" s="381"/>
      <c r="C62" s="381"/>
      <c r="D62" s="381"/>
      <c r="E62" s="385">
        <v>5</v>
      </c>
      <c r="F62" s="386">
        <v>0</v>
      </c>
      <c r="G62" s="386">
        <f>'1.3 Frota Total'!F57</f>
        <v>0</v>
      </c>
      <c r="H62" s="386">
        <f>'1.3 Frota Total'!G57</f>
        <v>2</v>
      </c>
      <c r="I62" s="387">
        <f>'1.3 Frota Total'!H57</f>
        <v>0</v>
      </c>
    </row>
    <row r="63" spans="1:9" ht="15">
      <c r="A63" s="381"/>
      <c r="B63" s="381"/>
      <c r="C63" s="381"/>
      <c r="D63" s="381"/>
      <c r="E63" s="385">
        <v>6</v>
      </c>
      <c r="F63" s="386">
        <f>'1.3 Frota Total'!E58</f>
        <v>0</v>
      </c>
      <c r="G63" s="386">
        <f>'1.3 Frota Total'!F58</f>
        <v>0</v>
      </c>
      <c r="H63" s="386">
        <f>'1.3 Frota Total'!G58</f>
        <v>0</v>
      </c>
      <c r="I63" s="387">
        <f>'1.3 Frota Total'!H58</f>
        <v>0</v>
      </c>
    </row>
    <row r="64" spans="1:9" ht="15">
      <c r="A64" s="381"/>
      <c r="B64" s="381"/>
      <c r="C64" s="381"/>
      <c r="D64" s="381"/>
      <c r="E64" s="385">
        <v>7</v>
      </c>
      <c r="F64" s="386">
        <f>'1.3 Frota Total'!E59</f>
        <v>0</v>
      </c>
      <c r="G64" s="386">
        <f>'1.3 Frota Total'!F59</f>
        <v>0</v>
      </c>
      <c r="H64" s="386">
        <f>'1.3 Frota Total'!G59</f>
        <v>0</v>
      </c>
      <c r="I64" s="387">
        <f>'1.3 Frota Total'!H59</f>
        <v>0</v>
      </c>
    </row>
    <row r="65" spans="1:9" ht="15.75">
      <c r="A65" s="381"/>
      <c r="B65" s="381"/>
      <c r="C65" s="381"/>
      <c r="D65" s="381"/>
      <c r="E65" s="388">
        <v>8</v>
      </c>
      <c r="F65" s="389">
        <v>6</v>
      </c>
      <c r="G65" s="389">
        <f>'1.3 Frota Total'!F60</f>
        <v>0</v>
      </c>
      <c r="H65" s="389">
        <f>'1.3 Frota Total'!G60</f>
        <v>0</v>
      </c>
      <c r="I65" s="390">
        <f>'1.3 Frota Total'!H60</f>
        <v>0</v>
      </c>
    </row>
    <row r="66" spans="1:9" ht="15">
      <c r="A66" s="395" t="s">
        <v>138</v>
      </c>
      <c r="B66" s="395"/>
      <c r="C66" s="395"/>
      <c r="D66" s="395"/>
      <c r="E66" s="396">
        <v>0</v>
      </c>
      <c r="F66" s="397">
        <f>'1.3 Frota Total'!E61</f>
        <v>0</v>
      </c>
      <c r="G66" s="397">
        <f>'1.3 Frota Total'!F61</f>
        <v>0</v>
      </c>
      <c r="H66" s="397">
        <f>'1.3 Frota Total'!G61</f>
        <v>0</v>
      </c>
      <c r="I66" s="398">
        <f>'1.3 Frota Total'!H61</f>
        <v>0</v>
      </c>
    </row>
    <row r="67" spans="1:9" ht="15">
      <c r="A67" s="395"/>
      <c r="B67" s="395"/>
      <c r="C67" s="395"/>
      <c r="D67" s="395"/>
      <c r="E67" s="385">
        <v>1</v>
      </c>
      <c r="F67" s="386">
        <f>'1.3 Frota Total'!E62</f>
        <v>0</v>
      </c>
      <c r="G67" s="386">
        <f>'1.3 Frota Total'!F62</f>
        <v>0</v>
      </c>
      <c r="H67" s="386">
        <f>'1.3 Frota Total'!G62</f>
        <v>0</v>
      </c>
      <c r="I67" s="387">
        <f>'1.3 Frota Total'!H62</f>
        <v>0</v>
      </c>
    </row>
    <row r="68" spans="1:9" ht="15">
      <c r="A68" s="395"/>
      <c r="B68" s="395"/>
      <c r="C68" s="395"/>
      <c r="D68" s="395"/>
      <c r="E68" s="385">
        <v>2</v>
      </c>
      <c r="F68" s="386">
        <f>'1.3 Frota Total'!E63</f>
        <v>0</v>
      </c>
      <c r="G68" s="386">
        <f>'1.3 Frota Total'!F63</f>
        <v>0</v>
      </c>
      <c r="H68" s="386">
        <f>'1.3 Frota Total'!G63</f>
        <v>0</v>
      </c>
      <c r="I68" s="387">
        <f>'1.3 Frota Total'!H63</f>
        <v>0</v>
      </c>
    </row>
    <row r="69" spans="1:9" ht="15">
      <c r="A69" s="395"/>
      <c r="B69" s="395"/>
      <c r="C69" s="395"/>
      <c r="D69" s="395"/>
      <c r="E69" s="385">
        <v>3</v>
      </c>
      <c r="F69" s="386">
        <f>'1.3 Frota Total'!E64</f>
        <v>0</v>
      </c>
      <c r="G69" s="386">
        <f>'1.3 Frota Total'!F64</f>
        <v>0</v>
      </c>
      <c r="H69" s="386">
        <f>'1.3 Frota Total'!G64</f>
        <v>0</v>
      </c>
      <c r="I69" s="387">
        <f>'1.3 Frota Total'!H64</f>
        <v>0</v>
      </c>
    </row>
    <row r="70" spans="1:9" ht="15">
      <c r="A70" s="395"/>
      <c r="B70" s="395"/>
      <c r="C70" s="395"/>
      <c r="D70" s="395"/>
      <c r="E70" s="385">
        <v>4</v>
      </c>
      <c r="F70" s="386">
        <f>'1.3 Frota Total'!E65</f>
        <v>0</v>
      </c>
      <c r="G70" s="386">
        <f>'1.3 Frota Total'!F65</f>
        <v>0</v>
      </c>
      <c r="H70" s="386">
        <f>'1.3 Frota Total'!G65</f>
        <v>0</v>
      </c>
      <c r="I70" s="387">
        <f>'1.3 Frota Total'!H65</f>
        <v>0</v>
      </c>
    </row>
    <row r="71" spans="1:9" ht="15">
      <c r="A71" s="395"/>
      <c r="B71" s="395"/>
      <c r="C71" s="395"/>
      <c r="D71" s="395"/>
      <c r="E71" s="385">
        <v>5</v>
      </c>
      <c r="F71" s="386">
        <f>'1.3 Frota Total'!E66</f>
        <v>0</v>
      </c>
      <c r="G71" s="386">
        <f>'1.3 Frota Total'!F66</f>
        <v>0</v>
      </c>
      <c r="H71" s="386">
        <f>'1.3 Frota Total'!G66</f>
        <v>0</v>
      </c>
      <c r="I71" s="387">
        <f>'1.3 Frota Total'!H66</f>
        <v>0</v>
      </c>
    </row>
    <row r="72" spans="1:9" ht="15">
      <c r="A72" s="395"/>
      <c r="B72" s="395"/>
      <c r="C72" s="395"/>
      <c r="D72" s="395"/>
      <c r="E72" s="385">
        <v>6</v>
      </c>
      <c r="F72" s="386">
        <f>'1.3 Frota Total'!E67</f>
        <v>0</v>
      </c>
      <c r="G72" s="386">
        <f>'1.3 Frota Total'!F67</f>
        <v>0</v>
      </c>
      <c r="H72" s="386">
        <f>'1.3 Frota Total'!G67</f>
        <v>0</v>
      </c>
      <c r="I72" s="387">
        <f>'1.3 Frota Total'!H67</f>
        <v>0</v>
      </c>
    </row>
    <row r="73" spans="1:9" ht="15">
      <c r="A73" s="395"/>
      <c r="B73" s="395"/>
      <c r="C73" s="395"/>
      <c r="D73" s="395"/>
      <c r="E73" s="385">
        <v>7</v>
      </c>
      <c r="F73" s="386">
        <f>'1.3 Frota Total'!E68</f>
        <v>0</v>
      </c>
      <c r="G73" s="386">
        <f>'1.3 Frota Total'!F68</f>
        <v>0</v>
      </c>
      <c r="H73" s="386">
        <f>'1.3 Frota Total'!G68</f>
        <v>0</v>
      </c>
      <c r="I73" s="387">
        <f>'1.3 Frota Total'!H68</f>
        <v>0</v>
      </c>
    </row>
    <row r="74" spans="1:9" ht="15">
      <c r="A74" s="395"/>
      <c r="B74" s="395"/>
      <c r="C74" s="395"/>
      <c r="D74" s="395"/>
      <c r="E74" s="385">
        <v>8</v>
      </c>
      <c r="F74" s="386">
        <f>'1.3 Frota Total'!E69</f>
        <v>0</v>
      </c>
      <c r="G74" s="386">
        <f>'1.3 Frota Total'!F69</f>
        <v>0</v>
      </c>
      <c r="H74" s="386">
        <f>'1.3 Frota Total'!G69</f>
        <v>0</v>
      </c>
      <c r="I74" s="387">
        <f>'1.3 Frota Total'!H69</f>
        <v>0</v>
      </c>
    </row>
    <row r="75" spans="1:9" ht="15">
      <c r="A75" s="395"/>
      <c r="B75" s="395"/>
      <c r="C75" s="395"/>
      <c r="D75" s="395"/>
      <c r="E75" s="385">
        <v>9</v>
      </c>
      <c r="F75" s="386">
        <f>'1.3 Frota Total'!E70</f>
        <v>0</v>
      </c>
      <c r="G75" s="386">
        <f>'1.3 Frota Total'!F70</f>
        <v>0</v>
      </c>
      <c r="H75" s="386">
        <f>'1.3 Frota Total'!G70</f>
        <v>0</v>
      </c>
      <c r="I75" s="387">
        <f>'1.3 Frota Total'!H70</f>
        <v>0</v>
      </c>
    </row>
    <row r="76" spans="1:9" ht="15.75">
      <c r="A76" s="395"/>
      <c r="B76" s="395"/>
      <c r="C76" s="395"/>
      <c r="D76" s="395"/>
      <c r="E76" s="392">
        <v>10</v>
      </c>
      <c r="F76" s="393">
        <f>'1.3 Frota Total'!E71</f>
        <v>0</v>
      </c>
      <c r="G76" s="393">
        <f>'1.3 Frota Total'!F71</f>
        <v>0</v>
      </c>
      <c r="H76" s="393">
        <f>'1.3 Frota Total'!G71</f>
        <v>0</v>
      </c>
      <c r="I76" s="394">
        <f>'1.3 Frota Total'!H71</f>
        <v>0</v>
      </c>
    </row>
    <row r="77" spans="1:9" ht="15">
      <c r="A77" s="391" t="s">
        <v>140</v>
      </c>
      <c r="B77" s="391"/>
      <c r="C77" s="391"/>
      <c r="D77" s="391"/>
      <c r="E77" s="382">
        <v>0</v>
      </c>
      <c r="F77" s="383">
        <f>'1.3 Frota Total'!E72</f>
        <v>0</v>
      </c>
      <c r="G77" s="383">
        <f>'1.3 Frota Total'!F72</f>
        <v>0</v>
      </c>
      <c r="H77" s="383">
        <f>'1.3 Frota Total'!G72</f>
        <v>0</v>
      </c>
      <c r="I77" s="384">
        <f>'1.3 Frota Total'!H72</f>
        <v>0</v>
      </c>
    </row>
    <row r="78" spans="1:9" ht="15">
      <c r="A78" s="391"/>
      <c r="B78" s="391"/>
      <c r="C78" s="391"/>
      <c r="D78" s="391"/>
      <c r="E78" s="385">
        <v>1</v>
      </c>
      <c r="F78" s="386">
        <f>'1.3 Frota Total'!E73</f>
        <v>0</v>
      </c>
      <c r="G78" s="386">
        <f>'1.3 Frota Total'!F73</f>
        <v>0</v>
      </c>
      <c r="H78" s="386">
        <f>'1.3 Frota Total'!G73</f>
        <v>0</v>
      </c>
      <c r="I78" s="387">
        <f>'1.3 Frota Total'!H73</f>
        <v>0</v>
      </c>
    </row>
    <row r="79" spans="1:9" ht="15">
      <c r="A79" s="391"/>
      <c r="B79" s="391"/>
      <c r="C79" s="391"/>
      <c r="D79" s="391"/>
      <c r="E79" s="385">
        <v>2</v>
      </c>
      <c r="F79" s="386">
        <f>'1.3 Frota Total'!E74</f>
        <v>0</v>
      </c>
      <c r="G79" s="386">
        <f>'1.3 Frota Total'!F74</f>
        <v>0</v>
      </c>
      <c r="H79" s="386">
        <f>'1.3 Frota Total'!G74</f>
        <v>0</v>
      </c>
      <c r="I79" s="387">
        <f>'1.3 Frota Total'!H74</f>
        <v>0</v>
      </c>
    </row>
    <row r="80" spans="1:9" ht="15">
      <c r="A80" s="391"/>
      <c r="B80" s="391"/>
      <c r="C80" s="391"/>
      <c r="D80" s="391"/>
      <c r="E80" s="385">
        <v>3</v>
      </c>
      <c r="F80" s="386">
        <f>'1.3 Frota Total'!E75</f>
        <v>0</v>
      </c>
      <c r="G80" s="386">
        <f>'1.3 Frota Total'!F75</f>
        <v>0</v>
      </c>
      <c r="H80" s="386">
        <f>'1.3 Frota Total'!G75</f>
        <v>0</v>
      </c>
      <c r="I80" s="387">
        <f>'1.3 Frota Total'!H75</f>
        <v>0</v>
      </c>
    </row>
    <row r="81" spans="1:9" ht="15">
      <c r="A81" s="391"/>
      <c r="B81" s="391"/>
      <c r="C81" s="391"/>
      <c r="D81" s="391"/>
      <c r="E81" s="385">
        <v>4</v>
      </c>
      <c r="F81" s="386">
        <f>'1.3 Frota Total'!E76</f>
        <v>0</v>
      </c>
      <c r="G81" s="386">
        <f>'1.3 Frota Total'!F76</f>
        <v>0</v>
      </c>
      <c r="H81" s="386">
        <f>'1.3 Frota Total'!G76</f>
        <v>0</v>
      </c>
      <c r="I81" s="387">
        <f>'1.3 Frota Total'!H76</f>
        <v>0</v>
      </c>
    </row>
    <row r="82" spans="1:9" ht="15">
      <c r="A82" s="391"/>
      <c r="B82" s="391"/>
      <c r="C82" s="391"/>
      <c r="D82" s="391"/>
      <c r="E82" s="385">
        <v>5</v>
      </c>
      <c r="F82" s="386">
        <f>'1.3 Frota Total'!E77</f>
        <v>0</v>
      </c>
      <c r="G82" s="386">
        <f>'1.3 Frota Total'!F77</f>
        <v>0</v>
      </c>
      <c r="H82" s="386">
        <f>'1.3 Frota Total'!G77</f>
        <v>0</v>
      </c>
      <c r="I82" s="387">
        <f>'1.3 Frota Total'!H77</f>
        <v>0</v>
      </c>
    </row>
    <row r="83" spans="1:9" ht="15">
      <c r="A83" s="391"/>
      <c r="B83" s="391"/>
      <c r="C83" s="391"/>
      <c r="D83" s="391"/>
      <c r="E83" s="385">
        <v>6</v>
      </c>
      <c r="F83" s="386">
        <f>'1.3 Frota Total'!E78</f>
        <v>0</v>
      </c>
      <c r="G83" s="386">
        <f>'1.3 Frota Total'!F78</f>
        <v>0</v>
      </c>
      <c r="H83" s="386">
        <f>'1.3 Frota Total'!G78</f>
        <v>0</v>
      </c>
      <c r="I83" s="387">
        <f>'1.3 Frota Total'!H78</f>
        <v>0</v>
      </c>
    </row>
    <row r="84" spans="1:9" ht="15">
      <c r="A84" s="391"/>
      <c r="B84" s="391"/>
      <c r="C84" s="391"/>
      <c r="D84" s="391"/>
      <c r="E84" s="385">
        <v>7</v>
      </c>
      <c r="F84" s="386">
        <f>'1.3 Frota Total'!E79</f>
        <v>0</v>
      </c>
      <c r="G84" s="386">
        <f>'1.3 Frota Total'!F79</f>
        <v>0</v>
      </c>
      <c r="H84" s="386">
        <f>'1.3 Frota Total'!G79</f>
        <v>0</v>
      </c>
      <c r="I84" s="387">
        <f>'1.3 Frota Total'!H79</f>
        <v>0</v>
      </c>
    </row>
    <row r="85" spans="1:9" ht="15">
      <c r="A85" s="391"/>
      <c r="B85" s="391"/>
      <c r="C85" s="391"/>
      <c r="D85" s="391"/>
      <c r="E85" s="385">
        <v>8</v>
      </c>
      <c r="F85" s="386">
        <f>'1.3 Frota Total'!E80</f>
        <v>0</v>
      </c>
      <c r="G85" s="386">
        <f>'1.3 Frota Total'!F80</f>
        <v>0</v>
      </c>
      <c r="H85" s="386">
        <f>'1.3 Frota Total'!G80</f>
        <v>0</v>
      </c>
      <c r="I85" s="387">
        <f>'1.3 Frota Total'!H80</f>
        <v>0</v>
      </c>
    </row>
    <row r="86" spans="1:9" ht="15">
      <c r="A86" s="391"/>
      <c r="B86" s="391"/>
      <c r="C86" s="391"/>
      <c r="D86" s="391"/>
      <c r="E86" s="385">
        <v>9</v>
      </c>
      <c r="F86" s="386">
        <f>'1.3 Frota Total'!E81</f>
        <v>0</v>
      </c>
      <c r="G86" s="386">
        <f>'1.3 Frota Total'!F81</f>
        <v>0</v>
      </c>
      <c r="H86" s="386">
        <f>'1.3 Frota Total'!G81</f>
        <v>0</v>
      </c>
      <c r="I86" s="387">
        <f>'1.3 Frota Total'!H81</f>
        <v>0</v>
      </c>
    </row>
    <row r="87" spans="1:9" ht="15">
      <c r="A87" s="391"/>
      <c r="B87" s="391"/>
      <c r="C87" s="391"/>
      <c r="D87" s="391"/>
      <c r="E87" s="385">
        <v>10</v>
      </c>
      <c r="F87" s="386">
        <f>'1.3 Frota Total'!E82</f>
        <v>0</v>
      </c>
      <c r="G87" s="386">
        <f>'1.3 Frota Total'!F82</f>
        <v>0</v>
      </c>
      <c r="H87" s="386">
        <f>'1.3 Frota Total'!G82</f>
        <v>0</v>
      </c>
      <c r="I87" s="387">
        <f>'1.3 Frota Total'!H82</f>
        <v>0</v>
      </c>
    </row>
    <row r="88" spans="1:9" ht="15">
      <c r="A88" s="391"/>
      <c r="B88" s="391"/>
      <c r="C88" s="391"/>
      <c r="D88" s="391"/>
      <c r="E88" s="385">
        <v>11</v>
      </c>
      <c r="F88" s="386">
        <f>'1.3 Frota Total'!E83</f>
        <v>0</v>
      </c>
      <c r="G88" s="386">
        <f>'1.3 Frota Total'!F83</f>
        <v>0</v>
      </c>
      <c r="H88" s="386">
        <f>'1.3 Frota Total'!G83</f>
        <v>0</v>
      </c>
      <c r="I88" s="387">
        <f>'1.3 Frota Total'!H83</f>
        <v>0</v>
      </c>
    </row>
    <row r="89" spans="1:9" ht="15.75">
      <c r="A89" s="391"/>
      <c r="B89" s="391"/>
      <c r="C89" s="391"/>
      <c r="D89" s="391"/>
      <c r="E89" s="392">
        <v>12</v>
      </c>
      <c r="F89" s="393">
        <f>'1.3 Frota Total'!E84</f>
        <v>0</v>
      </c>
      <c r="G89" s="393">
        <f>'1.3 Frota Total'!F84</f>
        <v>0</v>
      </c>
      <c r="H89" s="393">
        <f>'1.3 Frota Total'!G84</f>
        <v>0</v>
      </c>
      <c r="I89" s="394">
        <f>'1.3 Frota Total'!H84</f>
        <v>0</v>
      </c>
    </row>
    <row r="90" spans="1:9" ht="15">
      <c r="A90" s="381" t="s">
        <v>144</v>
      </c>
      <c r="B90" s="381"/>
      <c r="C90" s="381"/>
      <c r="D90" s="381"/>
      <c r="E90" s="382">
        <v>0</v>
      </c>
      <c r="F90" s="383">
        <f>'1.3 Frota Total'!E85</f>
        <v>0</v>
      </c>
      <c r="G90" s="383">
        <f>'1.3 Frota Total'!F85</f>
        <v>0</v>
      </c>
      <c r="H90" s="383">
        <f>'1.3 Frota Total'!G85</f>
        <v>0</v>
      </c>
      <c r="I90" s="384">
        <f>'1.3 Frota Total'!H85</f>
        <v>0</v>
      </c>
    </row>
    <row r="91" spans="1:9" ht="15">
      <c r="A91" s="381"/>
      <c r="B91" s="381"/>
      <c r="C91" s="381"/>
      <c r="D91" s="381"/>
      <c r="E91" s="385">
        <v>1</v>
      </c>
      <c r="F91" s="386">
        <f>'1.3 Frota Total'!E86</f>
        <v>0</v>
      </c>
      <c r="G91" s="386">
        <f>'1.3 Frota Total'!F86</f>
        <v>0</v>
      </c>
      <c r="H91" s="386">
        <f>'1.3 Frota Total'!G86</f>
        <v>0</v>
      </c>
      <c r="I91" s="387">
        <f>'1.3 Frota Total'!H86</f>
        <v>0</v>
      </c>
    </row>
    <row r="92" spans="1:9" ht="15">
      <c r="A92" s="381"/>
      <c r="B92" s="381"/>
      <c r="C92" s="381"/>
      <c r="D92" s="381"/>
      <c r="E92" s="385">
        <v>2</v>
      </c>
      <c r="F92" s="386">
        <f>'1.3 Frota Total'!E87</f>
        <v>0</v>
      </c>
      <c r="G92" s="386">
        <f>'1.3 Frota Total'!F87</f>
        <v>0</v>
      </c>
      <c r="H92" s="386">
        <f>'1.3 Frota Total'!G87</f>
        <v>0</v>
      </c>
      <c r="I92" s="387">
        <f>'1.3 Frota Total'!H87</f>
        <v>0</v>
      </c>
    </row>
    <row r="93" spans="1:9" ht="15">
      <c r="A93" s="381"/>
      <c r="B93" s="381"/>
      <c r="C93" s="381"/>
      <c r="D93" s="381"/>
      <c r="E93" s="385">
        <v>3</v>
      </c>
      <c r="F93" s="386">
        <f>'1.3 Frota Total'!E88</f>
        <v>0</v>
      </c>
      <c r="G93" s="386">
        <f>'1.3 Frota Total'!F88</f>
        <v>0</v>
      </c>
      <c r="H93" s="386">
        <f>'1.3 Frota Total'!G88</f>
        <v>0</v>
      </c>
      <c r="I93" s="387">
        <f>'1.3 Frota Total'!H88</f>
        <v>0</v>
      </c>
    </row>
    <row r="94" spans="1:9" ht="15">
      <c r="A94" s="381"/>
      <c r="B94" s="381"/>
      <c r="C94" s="381"/>
      <c r="D94" s="381"/>
      <c r="E94" s="385">
        <v>4</v>
      </c>
      <c r="F94" s="386">
        <f>'1.3 Frota Total'!E89</f>
        <v>0</v>
      </c>
      <c r="G94" s="386">
        <f>'1.3 Frota Total'!F89</f>
        <v>0</v>
      </c>
      <c r="H94" s="386">
        <f>'1.3 Frota Total'!G89</f>
        <v>0</v>
      </c>
      <c r="I94" s="387">
        <f>'1.3 Frota Total'!H89</f>
        <v>0</v>
      </c>
    </row>
    <row r="95" spans="1:9" ht="15">
      <c r="A95" s="381"/>
      <c r="B95" s="381"/>
      <c r="C95" s="381"/>
      <c r="D95" s="381"/>
      <c r="E95" s="385">
        <v>5</v>
      </c>
      <c r="F95" s="386">
        <f>'1.3 Frota Total'!E90</f>
        <v>0</v>
      </c>
      <c r="G95" s="386">
        <f>'1.3 Frota Total'!F90</f>
        <v>0</v>
      </c>
      <c r="H95" s="386">
        <f>'1.3 Frota Total'!G90</f>
        <v>0</v>
      </c>
      <c r="I95" s="387">
        <f>'1.3 Frota Total'!H90</f>
        <v>0</v>
      </c>
    </row>
    <row r="96" spans="1:9" ht="15">
      <c r="A96" s="381"/>
      <c r="B96" s="381"/>
      <c r="C96" s="381"/>
      <c r="D96" s="381"/>
      <c r="E96" s="385">
        <v>6</v>
      </c>
      <c r="F96" s="386">
        <f>'1.3 Frota Total'!E91</f>
        <v>0</v>
      </c>
      <c r="G96" s="386">
        <f>'1.3 Frota Total'!F91</f>
        <v>0</v>
      </c>
      <c r="H96" s="386">
        <f>'1.3 Frota Total'!G91</f>
        <v>0</v>
      </c>
      <c r="I96" s="387">
        <f>'1.3 Frota Total'!H91</f>
        <v>0</v>
      </c>
    </row>
    <row r="97" spans="1:9" ht="15">
      <c r="A97" s="381"/>
      <c r="B97" s="381"/>
      <c r="C97" s="381"/>
      <c r="D97" s="381"/>
      <c r="E97" s="385">
        <v>7</v>
      </c>
      <c r="F97" s="386">
        <f>'1.3 Frota Total'!E92</f>
        <v>0</v>
      </c>
      <c r="G97" s="386">
        <f>'1.3 Frota Total'!F92</f>
        <v>0</v>
      </c>
      <c r="H97" s="386">
        <f>'1.3 Frota Total'!G92</f>
        <v>0</v>
      </c>
      <c r="I97" s="387">
        <f>'1.3 Frota Total'!H92</f>
        <v>0</v>
      </c>
    </row>
    <row r="98" spans="1:9" ht="15">
      <c r="A98" s="381"/>
      <c r="B98" s="381"/>
      <c r="C98" s="381"/>
      <c r="D98" s="381"/>
      <c r="E98" s="385">
        <v>8</v>
      </c>
      <c r="F98" s="386">
        <f>'1.3 Frota Total'!E93</f>
        <v>0</v>
      </c>
      <c r="G98" s="386">
        <f>'1.3 Frota Total'!F93</f>
        <v>0</v>
      </c>
      <c r="H98" s="386">
        <f>'1.3 Frota Total'!G93</f>
        <v>0</v>
      </c>
      <c r="I98" s="387">
        <f>'1.3 Frota Total'!H93</f>
        <v>0</v>
      </c>
    </row>
    <row r="99" spans="1:9" ht="15">
      <c r="A99" s="381"/>
      <c r="B99" s="381"/>
      <c r="C99" s="381"/>
      <c r="D99" s="381"/>
      <c r="E99" s="385">
        <v>9</v>
      </c>
      <c r="F99" s="386">
        <f>'1.3 Frota Total'!E94</f>
        <v>0</v>
      </c>
      <c r="G99" s="386">
        <f>'1.3 Frota Total'!F94</f>
        <v>0</v>
      </c>
      <c r="H99" s="386">
        <f>'1.3 Frota Total'!G94</f>
        <v>0</v>
      </c>
      <c r="I99" s="387">
        <f>'1.3 Frota Total'!H94</f>
        <v>0</v>
      </c>
    </row>
    <row r="100" spans="1:9" ht="15">
      <c r="A100" s="381"/>
      <c r="B100" s="381"/>
      <c r="C100" s="381"/>
      <c r="D100" s="381"/>
      <c r="E100" s="385">
        <v>10</v>
      </c>
      <c r="F100" s="386">
        <f>'1.3 Frota Total'!E95</f>
        <v>0</v>
      </c>
      <c r="G100" s="386">
        <f>'1.3 Frota Total'!F95</f>
        <v>0</v>
      </c>
      <c r="H100" s="386">
        <f>'1.3 Frota Total'!G95</f>
        <v>0</v>
      </c>
      <c r="I100" s="387">
        <f>'1.3 Frota Total'!H95</f>
        <v>0</v>
      </c>
    </row>
    <row r="101" spans="1:9" ht="15">
      <c r="A101" s="381"/>
      <c r="B101" s="381"/>
      <c r="C101" s="381"/>
      <c r="D101" s="381"/>
      <c r="E101" s="385">
        <v>11</v>
      </c>
      <c r="F101" s="386">
        <f>'1.3 Frota Total'!E96</f>
        <v>0</v>
      </c>
      <c r="G101" s="386">
        <f>'1.3 Frota Total'!F96</f>
        <v>0</v>
      </c>
      <c r="H101" s="386">
        <f>'1.3 Frota Total'!G96</f>
        <v>0</v>
      </c>
      <c r="I101" s="387">
        <f>'1.3 Frota Total'!H96</f>
        <v>0</v>
      </c>
    </row>
    <row r="102" spans="1:9" ht="15.75">
      <c r="A102" s="381"/>
      <c r="B102" s="381"/>
      <c r="C102" s="381"/>
      <c r="D102" s="381"/>
      <c r="E102" s="388">
        <v>12</v>
      </c>
      <c r="F102" s="389">
        <f>'1.3 Frota Total'!E97</f>
        <v>0</v>
      </c>
      <c r="G102" s="389">
        <f>'1.3 Frota Total'!F97</f>
        <v>0</v>
      </c>
      <c r="H102" s="389">
        <f>'1.3 Frota Total'!G97</f>
        <v>0</v>
      </c>
      <c r="I102" s="390">
        <f>'1.3 Frota Total'!H97</f>
        <v>0</v>
      </c>
    </row>
    <row r="104" spans="1:2" ht="15">
      <c r="A104" s="48" t="s">
        <v>649</v>
      </c>
      <c r="B104" s="48" t="s">
        <v>650</v>
      </c>
    </row>
    <row r="105" spans="1:10" ht="15">
      <c r="A105" s="399" t="s">
        <v>150</v>
      </c>
      <c r="B105" s="399"/>
      <c r="C105" s="399"/>
      <c r="D105" s="399"/>
      <c r="E105" s="399" t="s">
        <v>158</v>
      </c>
      <c r="F105" s="400" t="s">
        <v>151</v>
      </c>
      <c r="G105" s="400" t="s">
        <v>152</v>
      </c>
      <c r="H105" s="400" t="s">
        <v>152</v>
      </c>
      <c r="I105" s="401"/>
      <c r="J105" s="399" t="s">
        <v>651</v>
      </c>
    </row>
    <row r="106" spans="1:10" ht="15.75">
      <c r="A106" s="399"/>
      <c r="B106" s="399"/>
      <c r="C106" s="399"/>
      <c r="D106" s="399"/>
      <c r="E106" s="399"/>
      <c r="F106" s="399" t="s">
        <v>153</v>
      </c>
      <c r="G106" s="399"/>
      <c r="H106" s="399" t="s">
        <v>153</v>
      </c>
      <c r="I106" s="399"/>
      <c r="J106" s="399" t="s">
        <v>651</v>
      </c>
    </row>
    <row r="107" spans="1:10" ht="15" hidden="1">
      <c r="A107" s="381" t="s">
        <v>159</v>
      </c>
      <c r="B107" s="381"/>
      <c r="C107" s="381"/>
      <c r="D107" s="381"/>
      <c r="E107" s="382">
        <v>0</v>
      </c>
      <c r="F107" s="402">
        <f aca="true" t="shared" si="2" ref="F107:F173">F36*$J107</f>
        <v>0</v>
      </c>
      <c r="G107" s="402"/>
      <c r="H107" s="402">
        <f aca="true" t="shared" si="3" ref="H107:H173">H36*$J107</f>
        <v>0</v>
      </c>
      <c r="I107" s="402"/>
      <c r="J107" s="403">
        <f aca="true" t="shared" si="4" ref="J107:J112">D19</f>
        <v>0</v>
      </c>
    </row>
    <row r="108" spans="1:10" ht="15" hidden="1">
      <c r="A108" s="381"/>
      <c r="B108" s="381"/>
      <c r="C108" s="381"/>
      <c r="D108" s="381"/>
      <c r="E108" s="385">
        <v>1</v>
      </c>
      <c r="F108" s="404">
        <f t="shared" si="2"/>
        <v>0</v>
      </c>
      <c r="G108" s="404"/>
      <c r="H108" s="404">
        <f t="shared" si="3"/>
        <v>0</v>
      </c>
      <c r="I108" s="404"/>
      <c r="J108" s="405">
        <f t="shared" si="4"/>
        <v>0</v>
      </c>
    </row>
    <row r="109" spans="1:10" ht="15" hidden="1">
      <c r="A109" s="381"/>
      <c r="B109" s="381"/>
      <c r="C109" s="381"/>
      <c r="D109" s="381"/>
      <c r="E109" s="385">
        <v>2</v>
      </c>
      <c r="F109" s="404">
        <f t="shared" si="2"/>
        <v>0</v>
      </c>
      <c r="G109" s="404"/>
      <c r="H109" s="404">
        <f t="shared" si="3"/>
        <v>0</v>
      </c>
      <c r="I109" s="404"/>
      <c r="J109" s="405">
        <f t="shared" si="4"/>
        <v>0</v>
      </c>
    </row>
    <row r="110" spans="1:10" ht="15" hidden="1">
      <c r="A110" s="381"/>
      <c r="B110" s="381"/>
      <c r="C110" s="381"/>
      <c r="D110" s="381"/>
      <c r="E110" s="385">
        <v>3</v>
      </c>
      <c r="F110" s="404">
        <f t="shared" si="2"/>
        <v>0</v>
      </c>
      <c r="G110" s="404"/>
      <c r="H110" s="404">
        <f t="shared" si="3"/>
        <v>0</v>
      </c>
      <c r="I110" s="404"/>
      <c r="J110" s="405">
        <f t="shared" si="4"/>
        <v>0</v>
      </c>
    </row>
    <row r="111" spans="1:10" ht="15" hidden="1">
      <c r="A111" s="381"/>
      <c r="B111" s="381"/>
      <c r="C111" s="381"/>
      <c r="D111" s="381"/>
      <c r="E111" s="385">
        <v>4</v>
      </c>
      <c r="F111" s="404">
        <f t="shared" si="2"/>
        <v>0</v>
      </c>
      <c r="G111" s="404"/>
      <c r="H111" s="404">
        <f t="shared" si="3"/>
        <v>0</v>
      </c>
      <c r="I111" s="404"/>
      <c r="J111" s="405">
        <f t="shared" si="4"/>
        <v>0</v>
      </c>
    </row>
    <row r="112" spans="1:10" ht="15.75" hidden="1">
      <c r="A112" s="381"/>
      <c r="B112" s="381"/>
      <c r="C112" s="381"/>
      <c r="D112" s="381"/>
      <c r="E112" s="388">
        <v>5</v>
      </c>
      <c r="F112" s="406">
        <f t="shared" si="2"/>
        <v>0</v>
      </c>
      <c r="G112" s="406"/>
      <c r="H112" s="406">
        <f t="shared" si="3"/>
        <v>0</v>
      </c>
      <c r="I112" s="406"/>
      <c r="J112" s="407">
        <f t="shared" si="4"/>
        <v>0</v>
      </c>
    </row>
    <row r="113" spans="1:10" ht="15" hidden="1">
      <c r="A113" s="381" t="s">
        <v>126</v>
      </c>
      <c r="B113" s="381"/>
      <c r="C113" s="381"/>
      <c r="D113" s="381"/>
      <c r="E113" s="382">
        <v>0</v>
      </c>
      <c r="F113" s="402">
        <f t="shared" si="2"/>
        <v>0</v>
      </c>
      <c r="G113" s="402"/>
      <c r="H113" s="402">
        <f t="shared" si="3"/>
        <v>0</v>
      </c>
      <c r="I113" s="402"/>
      <c r="J113" s="403">
        <f aca="true" t="shared" si="5" ref="J113:J118">D19</f>
        <v>0</v>
      </c>
    </row>
    <row r="114" spans="1:10" ht="15" hidden="1">
      <c r="A114" s="381"/>
      <c r="B114" s="381"/>
      <c r="C114" s="381"/>
      <c r="D114" s="381"/>
      <c r="E114" s="385">
        <v>1</v>
      </c>
      <c r="F114" s="404">
        <f t="shared" si="2"/>
        <v>0</v>
      </c>
      <c r="G114" s="404"/>
      <c r="H114" s="404">
        <f t="shared" si="3"/>
        <v>0</v>
      </c>
      <c r="I114" s="404"/>
      <c r="J114" s="408">
        <f t="shared" si="5"/>
        <v>0</v>
      </c>
    </row>
    <row r="115" spans="1:10" ht="15" hidden="1">
      <c r="A115" s="381"/>
      <c r="B115" s="381"/>
      <c r="C115" s="381"/>
      <c r="D115" s="381"/>
      <c r="E115" s="385">
        <v>2</v>
      </c>
      <c r="F115" s="404">
        <f t="shared" si="2"/>
        <v>0</v>
      </c>
      <c r="G115" s="404"/>
      <c r="H115" s="404">
        <f t="shared" si="3"/>
        <v>0</v>
      </c>
      <c r="I115" s="404"/>
      <c r="J115" s="408">
        <f t="shared" si="5"/>
        <v>0</v>
      </c>
    </row>
    <row r="116" spans="1:10" ht="15" hidden="1">
      <c r="A116" s="381"/>
      <c r="B116" s="381"/>
      <c r="C116" s="381"/>
      <c r="D116" s="381"/>
      <c r="E116" s="385">
        <v>3</v>
      </c>
      <c r="F116" s="404">
        <f t="shared" si="2"/>
        <v>0</v>
      </c>
      <c r="G116" s="404"/>
      <c r="H116" s="404">
        <f t="shared" si="3"/>
        <v>0</v>
      </c>
      <c r="I116" s="404"/>
      <c r="J116" s="408">
        <f t="shared" si="5"/>
        <v>0</v>
      </c>
    </row>
    <row r="117" spans="1:10" ht="15" hidden="1">
      <c r="A117" s="381"/>
      <c r="B117" s="381"/>
      <c r="C117" s="381"/>
      <c r="D117" s="381"/>
      <c r="E117" s="385">
        <v>4</v>
      </c>
      <c r="F117" s="404">
        <f t="shared" si="2"/>
        <v>0</v>
      </c>
      <c r="G117" s="404"/>
      <c r="H117" s="404">
        <f t="shared" si="3"/>
        <v>0</v>
      </c>
      <c r="I117" s="404"/>
      <c r="J117" s="408">
        <f t="shared" si="5"/>
        <v>0</v>
      </c>
    </row>
    <row r="118" spans="1:10" ht="15.75" hidden="1">
      <c r="A118" s="381"/>
      <c r="B118" s="381"/>
      <c r="C118" s="381"/>
      <c r="D118" s="381"/>
      <c r="E118" s="388">
        <v>5</v>
      </c>
      <c r="F118" s="406">
        <f t="shared" si="2"/>
        <v>0</v>
      </c>
      <c r="G118" s="406"/>
      <c r="H118" s="406">
        <f t="shared" si="3"/>
        <v>0</v>
      </c>
      <c r="I118" s="406"/>
      <c r="J118" s="409">
        <f t="shared" si="5"/>
        <v>0</v>
      </c>
    </row>
    <row r="119" spans="1:10" ht="15" hidden="1">
      <c r="A119" s="381" t="s">
        <v>130</v>
      </c>
      <c r="B119" s="381"/>
      <c r="C119" s="381"/>
      <c r="D119" s="381"/>
      <c r="E119" s="382">
        <v>0</v>
      </c>
      <c r="F119" s="402">
        <f t="shared" si="2"/>
        <v>0</v>
      </c>
      <c r="G119" s="402"/>
      <c r="H119" s="402">
        <f t="shared" si="3"/>
        <v>0</v>
      </c>
      <c r="I119" s="402"/>
      <c r="J119" s="403">
        <f aca="true" t="shared" si="6" ref="J119:J127">E19</f>
        <v>0.016666666666666666</v>
      </c>
    </row>
    <row r="120" spans="1:10" ht="15" hidden="1">
      <c r="A120" s="381"/>
      <c r="B120" s="381"/>
      <c r="C120" s="381"/>
      <c r="D120" s="381"/>
      <c r="E120" s="385">
        <v>1</v>
      </c>
      <c r="F120" s="404">
        <f t="shared" si="2"/>
        <v>0</v>
      </c>
      <c r="G120" s="404"/>
      <c r="H120" s="404">
        <f t="shared" si="3"/>
        <v>0</v>
      </c>
      <c r="I120" s="404"/>
      <c r="J120" s="408">
        <f t="shared" si="6"/>
        <v>0.014583333333333332</v>
      </c>
    </row>
    <row r="121" spans="1:10" ht="15" hidden="1">
      <c r="A121" s="381"/>
      <c r="B121" s="381"/>
      <c r="C121" s="381"/>
      <c r="D121" s="381"/>
      <c r="E121" s="385">
        <v>2</v>
      </c>
      <c r="F121" s="404">
        <f t="shared" si="2"/>
        <v>0</v>
      </c>
      <c r="G121" s="404"/>
      <c r="H121" s="404">
        <f t="shared" si="3"/>
        <v>0</v>
      </c>
      <c r="I121" s="404"/>
      <c r="J121" s="408">
        <f t="shared" si="6"/>
        <v>0.012500000000000002</v>
      </c>
    </row>
    <row r="122" spans="1:10" ht="15" hidden="1">
      <c r="A122" s="381"/>
      <c r="B122" s="381"/>
      <c r="C122" s="381"/>
      <c r="D122" s="381"/>
      <c r="E122" s="385">
        <v>3</v>
      </c>
      <c r="F122" s="404">
        <f t="shared" si="2"/>
        <v>0</v>
      </c>
      <c r="G122" s="404"/>
      <c r="H122" s="404">
        <f t="shared" si="3"/>
        <v>0</v>
      </c>
      <c r="I122" s="404"/>
      <c r="J122" s="408">
        <f t="shared" si="6"/>
        <v>0.010416666666666666</v>
      </c>
    </row>
    <row r="123" spans="1:10" ht="15" hidden="1">
      <c r="A123" s="381"/>
      <c r="B123" s="381"/>
      <c r="C123" s="381"/>
      <c r="D123" s="381"/>
      <c r="E123" s="385">
        <v>4</v>
      </c>
      <c r="F123" s="404">
        <f t="shared" si="2"/>
        <v>0</v>
      </c>
      <c r="G123" s="404"/>
      <c r="H123" s="404">
        <f t="shared" si="3"/>
        <v>0</v>
      </c>
      <c r="I123" s="404"/>
      <c r="J123" s="408">
        <f t="shared" si="6"/>
        <v>0.008333333333333333</v>
      </c>
    </row>
    <row r="124" spans="1:10" ht="15" hidden="1">
      <c r="A124" s="381"/>
      <c r="B124" s="381"/>
      <c r="C124" s="381"/>
      <c r="D124" s="381"/>
      <c r="E124" s="385">
        <v>5</v>
      </c>
      <c r="F124" s="404">
        <f t="shared" si="2"/>
        <v>0</v>
      </c>
      <c r="G124" s="404"/>
      <c r="H124" s="404">
        <f t="shared" si="3"/>
        <v>0</v>
      </c>
      <c r="I124" s="404"/>
      <c r="J124" s="408">
        <f t="shared" si="6"/>
        <v>0.006250000000000001</v>
      </c>
    </row>
    <row r="125" spans="1:10" ht="15" hidden="1">
      <c r="A125" s="381"/>
      <c r="B125" s="381"/>
      <c r="C125" s="381"/>
      <c r="D125" s="381"/>
      <c r="E125" s="385">
        <v>6</v>
      </c>
      <c r="F125" s="404">
        <f t="shared" si="2"/>
        <v>0</v>
      </c>
      <c r="G125" s="404"/>
      <c r="H125" s="404">
        <f t="shared" si="3"/>
        <v>0</v>
      </c>
      <c r="I125" s="404"/>
      <c r="J125" s="408">
        <f t="shared" si="6"/>
        <v>0.004166666666666667</v>
      </c>
    </row>
    <row r="126" spans="1:10" ht="15" hidden="1">
      <c r="A126" s="381"/>
      <c r="B126" s="381"/>
      <c r="C126" s="381"/>
      <c r="D126" s="381"/>
      <c r="E126" s="385">
        <v>7</v>
      </c>
      <c r="F126" s="404">
        <f t="shared" si="2"/>
        <v>0</v>
      </c>
      <c r="G126" s="404"/>
      <c r="H126" s="404">
        <f t="shared" si="3"/>
        <v>0</v>
      </c>
      <c r="I126" s="404"/>
      <c r="J126" s="408">
        <f t="shared" si="6"/>
        <v>0.0020833333333333333</v>
      </c>
    </row>
    <row r="127" spans="1:10" ht="15.75" hidden="1">
      <c r="A127" s="381"/>
      <c r="B127" s="381"/>
      <c r="C127" s="381"/>
      <c r="D127" s="381"/>
      <c r="E127" s="388">
        <v>8</v>
      </c>
      <c r="F127" s="406">
        <f t="shared" si="2"/>
        <v>0</v>
      </c>
      <c r="G127" s="406"/>
      <c r="H127" s="406">
        <f t="shared" si="3"/>
        <v>0</v>
      </c>
      <c r="I127" s="406"/>
      <c r="J127" s="409">
        <f t="shared" si="6"/>
        <v>0</v>
      </c>
    </row>
    <row r="128" spans="1:10" ht="15">
      <c r="A128" s="381" t="s">
        <v>134</v>
      </c>
      <c r="B128" s="381"/>
      <c r="C128" s="381"/>
      <c r="D128" s="381"/>
      <c r="E128" s="382">
        <v>0</v>
      </c>
      <c r="F128" s="402">
        <f t="shared" si="2"/>
        <v>0</v>
      </c>
      <c r="G128" s="402"/>
      <c r="H128" s="402">
        <f t="shared" si="3"/>
        <v>0</v>
      </c>
      <c r="I128" s="402"/>
      <c r="J128" s="403">
        <f aca="true" t="shared" si="7" ref="J128:J136">E19</f>
        <v>0.016666666666666666</v>
      </c>
    </row>
    <row r="129" spans="1:10" ht="15">
      <c r="A129" s="381"/>
      <c r="B129" s="381"/>
      <c r="C129" s="381"/>
      <c r="D129" s="381"/>
      <c r="E129" s="385">
        <v>1</v>
      </c>
      <c r="F129" s="404">
        <f t="shared" si="2"/>
        <v>0</v>
      </c>
      <c r="G129" s="404"/>
      <c r="H129" s="404">
        <f t="shared" si="3"/>
        <v>0</v>
      </c>
      <c r="I129" s="404"/>
      <c r="J129" s="408">
        <f t="shared" si="7"/>
        <v>0.014583333333333332</v>
      </c>
    </row>
    <row r="130" spans="1:10" ht="15">
      <c r="A130" s="381"/>
      <c r="B130" s="381"/>
      <c r="C130" s="381"/>
      <c r="D130" s="381"/>
      <c r="E130" s="385">
        <v>2</v>
      </c>
      <c r="F130" s="404">
        <f t="shared" si="2"/>
        <v>0</v>
      </c>
      <c r="G130" s="404"/>
      <c r="H130" s="404">
        <f t="shared" si="3"/>
        <v>0</v>
      </c>
      <c r="I130" s="404"/>
      <c r="J130" s="408">
        <f t="shared" si="7"/>
        <v>0.012500000000000002</v>
      </c>
    </row>
    <row r="131" spans="1:10" ht="15">
      <c r="A131" s="381"/>
      <c r="B131" s="381"/>
      <c r="C131" s="381"/>
      <c r="D131" s="381"/>
      <c r="E131" s="385">
        <v>3</v>
      </c>
      <c r="F131" s="404">
        <f t="shared" si="2"/>
        <v>0</v>
      </c>
      <c r="G131" s="404"/>
      <c r="H131" s="404">
        <f t="shared" si="3"/>
        <v>0</v>
      </c>
      <c r="I131" s="404"/>
      <c r="J131" s="408">
        <f t="shared" si="7"/>
        <v>0.010416666666666666</v>
      </c>
    </row>
    <row r="132" spans="1:10" ht="15">
      <c r="A132" s="381"/>
      <c r="B132" s="381"/>
      <c r="C132" s="381"/>
      <c r="D132" s="381"/>
      <c r="E132" s="385">
        <v>4</v>
      </c>
      <c r="F132" s="404">
        <f t="shared" si="2"/>
        <v>0.016666666666666666</v>
      </c>
      <c r="G132" s="404"/>
      <c r="H132" s="404">
        <f t="shared" si="3"/>
        <v>0</v>
      </c>
      <c r="I132" s="404"/>
      <c r="J132" s="408">
        <f t="shared" si="7"/>
        <v>0.008333333333333333</v>
      </c>
    </row>
    <row r="133" spans="1:10" ht="15">
      <c r="A133" s="381"/>
      <c r="B133" s="381"/>
      <c r="C133" s="381"/>
      <c r="D133" s="381"/>
      <c r="E133" s="385">
        <v>5</v>
      </c>
      <c r="F133" s="404">
        <f t="shared" si="2"/>
        <v>0</v>
      </c>
      <c r="G133" s="404"/>
      <c r="H133" s="404">
        <f t="shared" si="3"/>
        <v>0.012500000000000002</v>
      </c>
      <c r="I133" s="404"/>
      <c r="J133" s="408">
        <f t="shared" si="7"/>
        <v>0.006250000000000001</v>
      </c>
    </row>
    <row r="134" spans="1:10" ht="15">
      <c r="A134" s="381"/>
      <c r="B134" s="381"/>
      <c r="C134" s="381"/>
      <c r="D134" s="381"/>
      <c r="E134" s="385">
        <v>6</v>
      </c>
      <c r="F134" s="404">
        <f t="shared" si="2"/>
        <v>0</v>
      </c>
      <c r="G134" s="404"/>
      <c r="H134" s="404">
        <f t="shared" si="3"/>
        <v>0</v>
      </c>
      <c r="I134" s="404"/>
      <c r="J134" s="408">
        <f t="shared" si="7"/>
        <v>0.004166666666666667</v>
      </c>
    </row>
    <row r="135" spans="1:10" ht="15">
      <c r="A135" s="381"/>
      <c r="B135" s="381"/>
      <c r="C135" s="381"/>
      <c r="D135" s="381"/>
      <c r="E135" s="385">
        <v>7</v>
      </c>
      <c r="F135" s="404">
        <f t="shared" si="2"/>
        <v>0</v>
      </c>
      <c r="G135" s="404"/>
      <c r="H135" s="404">
        <f t="shared" si="3"/>
        <v>0</v>
      </c>
      <c r="I135" s="404"/>
      <c r="J135" s="408">
        <f t="shared" si="7"/>
        <v>0.0020833333333333333</v>
      </c>
    </row>
    <row r="136" spans="1:10" ht="15.75">
      <c r="A136" s="381"/>
      <c r="B136" s="381"/>
      <c r="C136" s="381"/>
      <c r="D136" s="381"/>
      <c r="E136" s="388">
        <v>8</v>
      </c>
      <c r="F136" s="406">
        <f t="shared" si="2"/>
        <v>0</v>
      </c>
      <c r="G136" s="406"/>
      <c r="H136" s="406">
        <f t="shared" si="3"/>
        <v>0</v>
      </c>
      <c r="I136" s="406"/>
      <c r="J136" s="409">
        <f t="shared" si="7"/>
        <v>0</v>
      </c>
    </row>
    <row r="137" spans="1:10" ht="15" hidden="1">
      <c r="A137" s="381" t="s">
        <v>138</v>
      </c>
      <c r="B137" s="381"/>
      <c r="C137" s="381"/>
      <c r="D137" s="381"/>
      <c r="E137" s="382">
        <v>0</v>
      </c>
      <c r="F137" s="402">
        <f t="shared" si="2"/>
        <v>0</v>
      </c>
      <c r="G137" s="402"/>
      <c r="H137" s="402">
        <f t="shared" si="3"/>
        <v>0</v>
      </c>
      <c r="I137" s="402"/>
      <c r="J137" s="403">
        <f aca="true" t="shared" si="8" ref="J137:J147">F19</f>
        <v>0.013636363636363636</v>
      </c>
    </row>
    <row r="138" spans="1:10" ht="15" hidden="1">
      <c r="A138" s="381"/>
      <c r="B138" s="381"/>
      <c r="C138" s="381"/>
      <c r="D138" s="381"/>
      <c r="E138" s="385">
        <v>1</v>
      </c>
      <c r="F138" s="404">
        <f t="shared" si="2"/>
        <v>0</v>
      </c>
      <c r="G138" s="404"/>
      <c r="H138" s="404">
        <f t="shared" si="3"/>
        <v>0</v>
      </c>
      <c r="I138" s="404"/>
      <c r="J138" s="408">
        <f t="shared" si="8"/>
        <v>0.012272727272727274</v>
      </c>
    </row>
    <row r="139" spans="1:10" ht="15" hidden="1">
      <c r="A139" s="381"/>
      <c r="B139" s="381"/>
      <c r="C139" s="381"/>
      <c r="D139" s="381"/>
      <c r="E139" s="385">
        <v>2</v>
      </c>
      <c r="F139" s="404">
        <f t="shared" si="2"/>
        <v>0</v>
      </c>
      <c r="G139" s="404"/>
      <c r="H139" s="404">
        <f t="shared" si="3"/>
        <v>0</v>
      </c>
      <c r="I139" s="404"/>
      <c r="J139" s="408">
        <f t="shared" si="8"/>
        <v>0.01090909090909091</v>
      </c>
    </row>
    <row r="140" spans="1:10" ht="15" hidden="1">
      <c r="A140" s="381"/>
      <c r="B140" s="381"/>
      <c r="C140" s="381"/>
      <c r="D140" s="381"/>
      <c r="E140" s="385">
        <v>3</v>
      </c>
      <c r="F140" s="404">
        <f t="shared" si="2"/>
        <v>0</v>
      </c>
      <c r="G140" s="404"/>
      <c r="H140" s="404">
        <f t="shared" si="3"/>
        <v>0</v>
      </c>
      <c r="I140" s="404"/>
      <c r="J140" s="408">
        <f t="shared" si="8"/>
        <v>0.009545454545454546</v>
      </c>
    </row>
    <row r="141" spans="1:10" ht="15" hidden="1">
      <c r="A141" s="381"/>
      <c r="B141" s="381"/>
      <c r="C141" s="381"/>
      <c r="D141" s="381"/>
      <c r="E141" s="385">
        <v>4</v>
      </c>
      <c r="F141" s="404">
        <f t="shared" si="2"/>
        <v>0</v>
      </c>
      <c r="G141" s="404"/>
      <c r="H141" s="404">
        <f t="shared" si="3"/>
        <v>0</v>
      </c>
      <c r="I141" s="404"/>
      <c r="J141" s="408">
        <f t="shared" si="8"/>
        <v>0.008181818181818182</v>
      </c>
    </row>
    <row r="142" spans="1:10" ht="15" hidden="1">
      <c r="A142" s="381"/>
      <c r="B142" s="381"/>
      <c r="C142" s="381"/>
      <c r="D142" s="381"/>
      <c r="E142" s="385">
        <v>5</v>
      </c>
      <c r="F142" s="404">
        <f t="shared" si="2"/>
        <v>0</v>
      </c>
      <c r="G142" s="404"/>
      <c r="H142" s="404">
        <f t="shared" si="3"/>
        <v>0</v>
      </c>
      <c r="I142" s="404"/>
      <c r="J142" s="408">
        <f t="shared" si="8"/>
        <v>0.006818181818181818</v>
      </c>
    </row>
    <row r="143" spans="1:10" ht="15" hidden="1">
      <c r="A143" s="381"/>
      <c r="B143" s="381"/>
      <c r="C143" s="381"/>
      <c r="D143" s="381"/>
      <c r="E143" s="385">
        <v>6</v>
      </c>
      <c r="F143" s="404">
        <f t="shared" si="2"/>
        <v>0</v>
      </c>
      <c r="G143" s="404"/>
      <c r="H143" s="404">
        <f t="shared" si="3"/>
        <v>0</v>
      </c>
      <c r="I143" s="404"/>
      <c r="J143" s="408">
        <f t="shared" si="8"/>
        <v>0.005454545454545455</v>
      </c>
    </row>
    <row r="144" spans="1:10" ht="15" hidden="1">
      <c r="A144" s="381"/>
      <c r="B144" s="381"/>
      <c r="C144" s="381"/>
      <c r="D144" s="381"/>
      <c r="E144" s="385">
        <v>7</v>
      </c>
      <c r="F144" s="404">
        <f t="shared" si="2"/>
        <v>0</v>
      </c>
      <c r="G144" s="404"/>
      <c r="H144" s="404">
        <f t="shared" si="3"/>
        <v>0</v>
      </c>
      <c r="I144" s="404"/>
      <c r="J144" s="408">
        <f t="shared" si="8"/>
        <v>0.004090909090909091</v>
      </c>
    </row>
    <row r="145" spans="1:10" ht="15" hidden="1">
      <c r="A145" s="381"/>
      <c r="B145" s="381"/>
      <c r="C145" s="381"/>
      <c r="D145" s="381"/>
      <c r="E145" s="385">
        <v>8</v>
      </c>
      <c r="F145" s="404">
        <f t="shared" si="2"/>
        <v>0</v>
      </c>
      <c r="G145" s="404"/>
      <c r="H145" s="404">
        <f t="shared" si="3"/>
        <v>0</v>
      </c>
      <c r="I145" s="404"/>
      <c r="J145" s="408">
        <f t="shared" si="8"/>
        <v>0.0027272727272727275</v>
      </c>
    </row>
    <row r="146" spans="1:10" ht="15" hidden="1">
      <c r="A146" s="381"/>
      <c r="B146" s="381"/>
      <c r="C146" s="381"/>
      <c r="D146" s="381"/>
      <c r="E146" s="385">
        <v>9</v>
      </c>
      <c r="F146" s="404">
        <f t="shared" si="2"/>
        <v>0</v>
      </c>
      <c r="G146" s="404"/>
      <c r="H146" s="404">
        <f t="shared" si="3"/>
        <v>0</v>
      </c>
      <c r="I146" s="404"/>
      <c r="J146" s="408">
        <f t="shared" si="8"/>
        <v>0.0013636363636363637</v>
      </c>
    </row>
    <row r="147" spans="1:10" ht="15.75" hidden="1">
      <c r="A147" s="381"/>
      <c r="B147" s="381"/>
      <c r="C147" s="381"/>
      <c r="D147" s="381"/>
      <c r="E147" s="388">
        <v>10</v>
      </c>
      <c r="F147" s="406">
        <f t="shared" si="2"/>
        <v>0</v>
      </c>
      <c r="G147" s="406"/>
      <c r="H147" s="406">
        <f t="shared" si="3"/>
        <v>0</v>
      </c>
      <c r="I147" s="406"/>
      <c r="J147" s="409">
        <f t="shared" si="8"/>
        <v>0</v>
      </c>
    </row>
    <row r="148" spans="1:10" ht="15" hidden="1">
      <c r="A148" s="381" t="s">
        <v>140</v>
      </c>
      <c r="B148" s="381"/>
      <c r="C148" s="381"/>
      <c r="D148" s="381"/>
      <c r="E148" s="382">
        <v>0</v>
      </c>
      <c r="F148" s="402">
        <f t="shared" si="2"/>
        <v>0</v>
      </c>
      <c r="G148" s="402">
        <f aca="true" t="shared" si="9" ref="G148:G173">G77*$J148</f>
        <v>0</v>
      </c>
      <c r="H148" s="402">
        <f t="shared" si="3"/>
        <v>0</v>
      </c>
      <c r="I148" s="402">
        <f aca="true" t="shared" si="10" ref="I148:I173">I77*$J148</f>
        <v>0</v>
      </c>
      <c r="J148" s="403">
        <f aca="true" t="shared" si="11" ref="J148:J160">G19</f>
        <v>0</v>
      </c>
    </row>
    <row r="149" spans="1:10" ht="15" hidden="1">
      <c r="A149" s="381"/>
      <c r="B149" s="381"/>
      <c r="C149" s="381"/>
      <c r="D149" s="381"/>
      <c r="E149" s="385">
        <v>1</v>
      </c>
      <c r="F149" s="404">
        <f t="shared" si="2"/>
        <v>0</v>
      </c>
      <c r="G149" s="404">
        <f t="shared" si="9"/>
        <v>0</v>
      </c>
      <c r="H149" s="404">
        <f t="shared" si="3"/>
        <v>0</v>
      </c>
      <c r="I149" s="404">
        <f t="shared" si="10"/>
        <v>0</v>
      </c>
      <c r="J149" s="408">
        <f t="shared" si="11"/>
        <v>0</v>
      </c>
    </row>
    <row r="150" spans="1:10" ht="15" hidden="1">
      <c r="A150" s="381"/>
      <c r="B150" s="381"/>
      <c r="C150" s="381"/>
      <c r="D150" s="381"/>
      <c r="E150" s="385">
        <v>2</v>
      </c>
      <c r="F150" s="404">
        <f t="shared" si="2"/>
        <v>0</v>
      </c>
      <c r="G150" s="404">
        <f t="shared" si="9"/>
        <v>0</v>
      </c>
      <c r="H150" s="404">
        <f t="shared" si="3"/>
        <v>0</v>
      </c>
      <c r="I150" s="404">
        <f t="shared" si="10"/>
        <v>0</v>
      </c>
      <c r="J150" s="408">
        <f t="shared" si="11"/>
        <v>0</v>
      </c>
    </row>
    <row r="151" spans="1:10" ht="15" hidden="1">
      <c r="A151" s="381"/>
      <c r="B151" s="381"/>
      <c r="C151" s="381"/>
      <c r="D151" s="381"/>
      <c r="E151" s="385">
        <v>3</v>
      </c>
      <c r="F151" s="404">
        <f t="shared" si="2"/>
        <v>0</v>
      </c>
      <c r="G151" s="404">
        <f t="shared" si="9"/>
        <v>0</v>
      </c>
      <c r="H151" s="404">
        <f t="shared" si="3"/>
        <v>0</v>
      </c>
      <c r="I151" s="404">
        <f t="shared" si="10"/>
        <v>0</v>
      </c>
      <c r="J151" s="408">
        <f t="shared" si="11"/>
        <v>0</v>
      </c>
    </row>
    <row r="152" spans="1:10" ht="15" hidden="1">
      <c r="A152" s="381"/>
      <c r="B152" s="381"/>
      <c r="C152" s="381"/>
      <c r="D152" s="381"/>
      <c r="E152" s="385">
        <v>4</v>
      </c>
      <c r="F152" s="404">
        <f t="shared" si="2"/>
        <v>0</v>
      </c>
      <c r="G152" s="404">
        <f t="shared" si="9"/>
        <v>0</v>
      </c>
      <c r="H152" s="404">
        <f t="shared" si="3"/>
        <v>0</v>
      </c>
      <c r="I152" s="404">
        <f t="shared" si="10"/>
        <v>0</v>
      </c>
      <c r="J152" s="408">
        <f t="shared" si="11"/>
        <v>0</v>
      </c>
    </row>
    <row r="153" spans="1:10" ht="15" hidden="1">
      <c r="A153" s="381"/>
      <c r="B153" s="381"/>
      <c r="C153" s="381"/>
      <c r="D153" s="381"/>
      <c r="E153" s="385">
        <v>5</v>
      </c>
      <c r="F153" s="404">
        <f t="shared" si="2"/>
        <v>0</v>
      </c>
      <c r="G153" s="404">
        <f t="shared" si="9"/>
        <v>0</v>
      </c>
      <c r="H153" s="404">
        <f t="shared" si="3"/>
        <v>0</v>
      </c>
      <c r="I153" s="404">
        <f t="shared" si="10"/>
        <v>0</v>
      </c>
      <c r="J153" s="408">
        <f t="shared" si="11"/>
        <v>0</v>
      </c>
    </row>
    <row r="154" spans="1:10" ht="15" hidden="1">
      <c r="A154" s="381"/>
      <c r="B154" s="381"/>
      <c r="C154" s="381"/>
      <c r="D154" s="381"/>
      <c r="E154" s="385">
        <v>6</v>
      </c>
      <c r="F154" s="404">
        <f t="shared" si="2"/>
        <v>0</v>
      </c>
      <c r="G154" s="404">
        <f t="shared" si="9"/>
        <v>0</v>
      </c>
      <c r="H154" s="404">
        <f t="shared" si="3"/>
        <v>0</v>
      </c>
      <c r="I154" s="404">
        <f t="shared" si="10"/>
        <v>0</v>
      </c>
      <c r="J154" s="408">
        <f t="shared" si="11"/>
        <v>0</v>
      </c>
    </row>
    <row r="155" spans="1:10" ht="15" hidden="1">
      <c r="A155" s="381"/>
      <c r="B155" s="381"/>
      <c r="C155" s="381"/>
      <c r="D155" s="381"/>
      <c r="E155" s="385">
        <v>7</v>
      </c>
      <c r="F155" s="404">
        <f t="shared" si="2"/>
        <v>0</v>
      </c>
      <c r="G155" s="404">
        <f t="shared" si="9"/>
        <v>0</v>
      </c>
      <c r="H155" s="404">
        <f t="shared" si="3"/>
        <v>0</v>
      </c>
      <c r="I155" s="404">
        <f t="shared" si="10"/>
        <v>0</v>
      </c>
      <c r="J155" s="408">
        <f t="shared" si="11"/>
        <v>0</v>
      </c>
    </row>
    <row r="156" spans="1:10" ht="15" hidden="1">
      <c r="A156" s="381"/>
      <c r="B156" s="381"/>
      <c r="C156" s="381"/>
      <c r="D156" s="381"/>
      <c r="E156" s="385">
        <v>8</v>
      </c>
      <c r="F156" s="404">
        <f t="shared" si="2"/>
        <v>0</v>
      </c>
      <c r="G156" s="404">
        <f t="shared" si="9"/>
        <v>0</v>
      </c>
      <c r="H156" s="404">
        <f t="shared" si="3"/>
        <v>0</v>
      </c>
      <c r="I156" s="404">
        <f t="shared" si="10"/>
        <v>0</v>
      </c>
      <c r="J156" s="408">
        <f t="shared" si="11"/>
        <v>0</v>
      </c>
    </row>
    <row r="157" spans="1:10" ht="15" hidden="1">
      <c r="A157" s="381"/>
      <c r="B157" s="381"/>
      <c r="C157" s="381"/>
      <c r="D157" s="381"/>
      <c r="E157" s="385">
        <v>9</v>
      </c>
      <c r="F157" s="404">
        <f t="shared" si="2"/>
        <v>0</v>
      </c>
      <c r="G157" s="404">
        <f t="shared" si="9"/>
        <v>0</v>
      </c>
      <c r="H157" s="404">
        <f t="shared" si="3"/>
        <v>0</v>
      </c>
      <c r="I157" s="404">
        <f t="shared" si="10"/>
        <v>0</v>
      </c>
      <c r="J157" s="408">
        <f t="shared" si="11"/>
        <v>0</v>
      </c>
    </row>
    <row r="158" spans="1:10" ht="15" hidden="1">
      <c r="A158" s="381"/>
      <c r="B158" s="381"/>
      <c r="C158" s="381"/>
      <c r="D158" s="381"/>
      <c r="E158" s="385">
        <v>10</v>
      </c>
      <c r="F158" s="404">
        <f t="shared" si="2"/>
        <v>0</v>
      </c>
      <c r="G158" s="404">
        <f t="shared" si="9"/>
        <v>0</v>
      </c>
      <c r="H158" s="404">
        <f t="shared" si="3"/>
        <v>0</v>
      </c>
      <c r="I158" s="404">
        <f t="shared" si="10"/>
        <v>0</v>
      </c>
      <c r="J158" s="408">
        <f t="shared" si="11"/>
        <v>0</v>
      </c>
    </row>
    <row r="159" spans="1:10" ht="15" hidden="1">
      <c r="A159" s="381"/>
      <c r="B159" s="381"/>
      <c r="C159" s="381"/>
      <c r="D159" s="381"/>
      <c r="E159" s="385">
        <v>11</v>
      </c>
      <c r="F159" s="404">
        <f t="shared" si="2"/>
        <v>0</v>
      </c>
      <c r="G159" s="404">
        <f t="shared" si="9"/>
        <v>0</v>
      </c>
      <c r="H159" s="404">
        <f t="shared" si="3"/>
        <v>0</v>
      </c>
      <c r="I159" s="404">
        <f t="shared" si="10"/>
        <v>0</v>
      </c>
      <c r="J159" s="408">
        <f t="shared" si="11"/>
        <v>0</v>
      </c>
    </row>
    <row r="160" spans="1:10" ht="15.75" hidden="1">
      <c r="A160" s="381"/>
      <c r="B160" s="381"/>
      <c r="C160" s="381"/>
      <c r="D160" s="381"/>
      <c r="E160" s="388">
        <v>12</v>
      </c>
      <c r="F160" s="406">
        <f t="shared" si="2"/>
        <v>0</v>
      </c>
      <c r="G160" s="406">
        <f t="shared" si="9"/>
        <v>0</v>
      </c>
      <c r="H160" s="406">
        <f t="shared" si="3"/>
        <v>0</v>
      </c>
      <c r="I160" s="406">
        <f t="shared" si="10"/>
        <v>0</v>
      </c>
      <c r="J160" s="409">
        <f t="shared" si="11"/>
        <v>0</v>
      </c>
    </row>
    <row r="161" spans="1:10" ht="15" hidden="1">
      <c r="A161" s="381" t="s">
        <v>144</v>
      </c>
      <c r="B161" s="381"/>
      <c r="C161" s="381"/>
      <c r="D161" s="381"/>
      <c r="E161" s="382">
        <v>0</v>
      </c>
      <c r="F161" s="402">
        <f t="shared" si="2"/>
        <v>0</v>
      </c>
      <c r="G161" s="402">
        <f t="shared" si="9"/>
        <v>0</v>
      </c>
      <c r="H161" s="402">
        <f t="shared" si="3"/>
        <v>0</v>
      </c>
      <c r="I161" s="402">
        <f t="shared" si="10"/>
        <v>0</v>
      </c>
      <c r="J161" s="403">
        <f aca="true" t="shared" si="12" ref="J161:J173">G19</f>
        <v>0</v>
      </c>
    </row>
    <row r="162" spans="1:10" ht="15" hidden="1">
      <c r="A162" s="381"/>
      <c r="B162" s="381"/>
      <c r="C162" s="381"/>
      <c r="D162" s="381"/>
      <c r="E162" s="385">
        <v>1</v>
      </c>
      <c r="F162" s="404">
        <f t="shared" si="2"/>
        <v>0</v>
      </c>
      <c r="G162" s="404">
        <f t="shared" si="9"/>
        <v>0</v>
      </c>
      <c r="H162" s="404">
        <f t="shared" si="3"/>
        <v>0</v>
      </c>
      <c r="I162" s="404">
        <f t="shared" si="10"/>
        <v>0</v>
      </c>
      <c r="J162" s="408">
        <f t="shared" si="12"/>
        <v>0</v>
      </c>
    </row>
    <row r="163" spans="1:10" ht="15" hidden="1">
      <c r="A163" s="381"/>
      <c r="B163" s="381"/>
      <c r="C163" s="381"/>
      <c r="D163" s="381"/>
      <c r="E163" s="385">
        <v>2</v>
      </c>
      <c r="F163" s="404">
        <f t="shared" si="2"/>
        <v>0</v>
      </c>
      <c r="G163" s="404">
        <f t="shared" si="9"/>
        <v>0</v>
      </c>
      <c r="H163" s="404">
        <f t="shared" si="3"/>
        <v>0</v>
      </c>
      <c r="I163" s="404">
        <f t="shared" si="10"/>
        <v>0</v>
      </c>
      <c r="J163" s="408">
        <f t="shared" si="12"/>
        <v>0</v>
      </c>
    </row>
    <row r="164" spans="1:10" ht="15" hidden="1">
      <c r="A164" s="381"/>
      <c r="B164" s="381"/>
      <c r="C164" s="381"/>
      <c r="D164" s="381"/>
      <c r="E164" s="385">
        <v>3</v>
      </c>
      <c r="F164" s="404">
        <f t="shared" si="2"/>
        <v>0</v>
      </c>
      <c r="G164" s="404">
        <f t="shared" si="9"/>
        <v>0</v>
      </c>
      <c r="H164" s="404">
        <f t="shared" si="3"/>
        <v>0</v>
      </c>
      <c r="I164" s="404">
        <f t="shared" si="10"/>
        <v>0</v>
      </c>
      <c r="J164" s="408">
        <f t="shared" si="12"/>
        <v>0</v>
      </c>
    </row>
    <row r="165" spans="1:10" ht="15" hidden="1">
      <c r="A165" s="381"/>
      <c r="B165" s="381"/>
      <c r="C165" s="381"/>
      <c r="D165" s="381"/>
      <c r="E165" s="385">
        <v>4</v>
      </c>
      <c r="F165" s="404">
        <f t="shared" si="2"/>
        <v>0</v>
      </c>
      <c r="G165" s="404">
        <f t="shared" si="9"/>
        <v>0</v>
      </c>
      <c r="H165" s="404">
        <f t="shared" si="3"/>
        <v>0</v>
      </c>
      <c r="I165" s="404">
        <f t="shared" si="10"/>
        <v>0</v>
      </c>
      <c r="J165" s="408">
        <f t="shared" si="12"/>
        <v>0</v>
      </c>
    </row>
    <row r="166" spans="1:10" ht="15" hidden="1">
      <c r="A166" s="381"/>
      <c r="B166" s="381"/>
      <c r="C166" s="381"/>
      <c r="D166" s="381"/>
      <c r="E166" s="385">
        <v>5</v>
      </c>
      <c r="F166" s="404">
        <f t="shared" si="2"/>
        <v>0</v>
      </c>
      <c r="G166" s="404">
        <f t="shared" si="9"/>
        <v>0</v>
      </c>
      <c r="H166" s="404">
        <f t="shared" si="3"/>
        <v>0</v>
      </c>
      <c r="I166" s="404">
        <f t="shared" si="10"/>
        <v>0</v>
      </c>
      <c r="J166" s="408">
        <f t="shared" si="12"/>
        <v>0</v>
      </c>
    </row>
    <row r="167" spans="1:10" ht="15" hidden="1">
      <c r="A167" s="381"/>
      <c r="B167" s="381"/>
      <c r="C167" s="381"/>
      <c r="D167" s="381"/>
      <c r="E167" s="385">
        <v>6</v>
      </c>
      <c r="F167" s="404">
        <f t="shared" si="2"/>
        <v>0</v>
      </c>
      <c r="G167" s="404">
        <f t="shared" si="9"/>
        <v>0</v>
      </c>
      <c r="H167" s="404">
        <f t="shared" si="3"/>
        <v>0</v>
      </c>
      <c r="I167" s="404">
        <f t="shared" si="10"/>
        <v>0</v>
      </c>
      <c r="J167" s="408">
        <f t="shared" si="12"/>
        <v>0</v>
      </c>
    </row>
    <row r="168" spans="1:10" ht="15" hidden="1">
      <c r="A168" s="381"/>
      <c r="B168" s="381"/>
      <c r="C168" s="381"/>
      <c r="D168" s="381"/>
      <c r="E168" s="385">
        <v>7</v>
      </c>
      <c r="F168" s="404">
        <f t="shared" si="2"/>
        <v>0</v>
      </c>
      <c r="G168" s="404">
        <f t="shared" si="9"/>
        <v>0</v>
      </c>
      <c r="H168" s="404">
        <f t="shared" si="3"/>
        <v>0</v>
      </c>
      <c r="I168" s="404">
        <f t="shared" si="10"/>
        <v>0</v>
      </c>
      <c r="J168" s="408">
        <f t="shared" si="12"/>
        <v>0</v>
      </c>
    </row>
    <row r="169" spans="1:10" ht="15" hidden="1">
      <c r="A169" s="381"/>
      <c r="B169" s="381"/>
      <c r="C169" s="381"/>
      <c r="D169" s="381"/>
      <c r="E169" s="385">
        <v>8</v>
      </c>
      <c r="F169" s="404">
        <f t="shared" si="2"/>
        <v>0</v>
      </c>
      <c r="G169" s="404">
        <f t="shared" si="9"/>
        <v>0</v>
      </c>
      <c r="H169" s="404">
        <f t="shared" si="3"/>
        <v>0</v>
      </c>
      <c r="I169" s="404">
        <f t="shared" si="10"/>
        <v>0</v>
      </c>
      <c r="J169" s="408">
        <f t="shared" si="12"/>
        <v>0</v>
      </c>
    </row>
    <row r="170" spans="1:10" ht="15" hidden="1">
      <c r="A170" s="381"/>
      <c r="B170" s="381"/>
      <c r="C170" s="381"/>
      <c r="D170" s="381"/>
      <c r="E170" s="385">
        <v>9</v>
      </c>
      <c r="F170" s="404">
        <f t="shared" si="2"/>
        <v>0</v>
      </c>
      <c r="G170" s="404">
        <f t="shared" si="9"/>
        <v>0</v>
      </c>
      <c r="H170" s="404">
        <f t="shared" si="3"/>
        <v>0</v>
      </c>
      <c r="I170" s="404">
        <f t="shared" si="10"/>
        <v>0</v>
      </c>
      <c r="J170" s="408">
        <f t="shared" si="12"/>
        <v>0</v>
      </c>
    </row>
    <row r="171" spans="1:10" ht="15" hidden="1">
      <c r="A171" s="381"/>
      <c r="B171" s="381"/>
      <c r="C171" s="381"/>
      <c r="D171" s="381"/>
      <c r="E171" s="385">
        <v>10</v>
      </c>
      <c r="F171" s="404">
        <f t="shared" si="2"/>
        <v>0</v>
      </c>
      <c r="G171" s="404">
        <f t="shared" si="9"/>
        <v>0</v>
      </c>
      <c r="H171" s="404">
        <f t="shared" si="3"/>
        <v>0</v>
      </c>
      <c r="I171" s="404">
        <f t="shared" si="10"/>
        <v>0</v>
      </c>
      <c r="J171" s="408">
        <f t="shared" si="12"/>
        <v>0</v>
      </c>
    </row>
    <row r="172" spans="1:10" ht="15" hidden="1">
      <c r="A172" s="381"/>
      <c r="B172" s="381"/>
      <c r="C172" s="381"/>
      <c r="D172" s="381"/>
      <c r="E172" s="385">
        <v>11</v>
      </c>
      <c r="F172" s="404">
        <f t="shared" si="2"/>
        <v>0</v>
      </c>
      <c r="G172" s="404">
        <f t="shared" si="9"/>
        <v>0</v>
      </c>
      <c r="H172" s="404">
        <f t="shared" si="3"/>
        <v>0</v>
      </c>
      <c r="I172" s="404">
        <f t="shared" si="10"/>
        <v>0</v>
      </c>
      <c r="J172" s="408">
        <f t="shared" si="12"/>
        <v>0</v>
      </c>
    </row>
    <row r="173" spans="1:10" ht="15.75" hidden="1">
      <c r="A173" s="381"/>
      <c r="B173" s="381"/>
      <c r="C173" s="381"/>
      <c r="D173" s="381"/>
      <c r="E173" s="388">
        <v>12</v>
      </c>
      <c r="F173" s="406">
        <f t="shared" si="2"/>
        <v>0</v>
      </c>
      <c r="G173" s="406">
        <f t="shared" si="9"/>
        <v>0</v>
      </c>
      <c r="H173" s="406">
        <f t="shared" si="3"/>
        <v>0</v>
      </c>
      <c r="I173" s="406">
        <f t="shared" si="10"/>
        <v>0</v>
      </c>
      <c r="J173" s="409">
        <f t="shared" si="12"/>
        <v>0</v>
      </c>
    </row>
    <row r="175" spans="1:10" ht="15.75">
      <c r="A175" s="48" t="s">
        <v>649</v>
      </c>
      <c r="B175" s="48" t="s">
        <v>650</v>
      </c>
      <c r="J175" s="115"/>
    </row>
    <row r="176" spans="1:10" ht="15">
      <c r="A176" s="410" t="s">
        <v>150</v>
      </c>
      <c r="B176" s="410"/>
      <c r="C176" s="410"/>
      <c r="D176" s="410"/>
      <c r="E176" s="411" t="s">
        <v>158</v>
      </c>
      <c r="F176" s="411" t="s">
        <v>151</v>
      </c>
      <c r="G176" s="411"/>
      <c r="H176" s="412" t="s">
        <v>152</v>
      </c>
      <c r="I176" s="412"/>
      <c r="J176" s="413"/>
    </row>
    <row r="177" spans="1:10" ht="15">
      <c r="A177" s="410"/>
      <c r="B177" s="410"/>
      <c r="C177" s="410"/>
      <c r="D177" s="410"/>
      <c r="E177" s="411"/>
      <c r="F177" s="119" t="s">
        <v>153</v>
      </c>
      <c r="G177" s="119" t="s">
        <v>154</v>
      </c>
      <c r="H177" s="119" t="s">
        <v>153</v>
      </c>
      <c r="I177" s="414" t="s">
        <v>154</v>
      </c>
      <c r="J177" s="413"/>
    </row>
    <row r="178" spans="1:10" ht="15" hidden="1">
      <c r="A178" s="415" t="s">
        <v>159</v>
      </c>
      <c r="B178" s="415"/>
      <c r="C178" s="415"/>
      <c r="D178" s="415"/>
      <c r="E178" s="396">
        <v>0</v>
      </c>
      <c r="F178" s="416">
        <f>_xlfn.IFERROR(F107*'2.1.b Veículos'!D$48,"")</f>
        <v>0</v>
      </c>
      <c r="G178" s="416">
        <f>_xlfn.IFERROR(G107*'2.1.b Veículos'!E$48,"")</f>
        <v>0</v>
      </c>
      <c r="H178" s="416">
        <f>_xlfn.IFERROR(H107*'2.1.b Veículos'!F$48,"")</f>
        <v>0</v>
      </c>
      <c r="I178" s="416">
        <f>_xlfn.IFERROR(I107*'2.1.b Veículos'!G$48,"")</f>
        <v>0</v>
      </c>
      <c r="J178" s="417"/>
    </row>
    <row r="179" spans="1:10" ht="15" hidden="1">
      <c r="A179" s="415"/>
      <c r="B179" s="415"/>
      <c r="C179" s="415"/>
      <c r="D179" s="415"/>
      <c r="E179" s="385">
        <v>1</v>
      </c>
      <c r="F179" s="416">
        <f>_xlfn.IFERROR(F108*'2.1.b Veículos'!D$48,"")</f>
        <v>0</v>
      </c>
      <c r="G179" s="416">
        <f>_xlfn.IFERROR(G108*'2.1.b Veículos'!E$48,"")</f>
        <v>0</v>
      </c>
      <c r="H179" s="416">
        <f>_xlfn.IFERROR(H108*'2.1.b Veículos'!F$48,"")</f>
        <v>0</v>
      </c>
      <c r="I179" s="416">
        <f>_xlfn.IFERROR(I108*'2.1.b Veículos'!G$48,"")</f>
        <v>0</v>
      </c>
      <c r="J179" s="417"/>
    </row>
    <row r="180" spans="1:10" ht="15" hidden="1">
      <c r="A180" s="415"/>
      <c r="B180" s="415"/>
      <c r="C180" s="415"/>
      <c r="D180" s="415"/>
      <c r="E180" s="385">
        <v>2</v>
      </c>
      <c r="F180" s="416">
        <f>_xlfn.IFERROR(F109*'2.1.b Veículos'!D$48,"")</f>
        <v>0</v>
      </c>
      <c r="G180" s="416">
        <f>_xlfn.IFERROR(G109*'2.1.b Veículos'!E$48,"")</f>
        <v>0</v>
      </c>
      <c r="H180" s="416">
        <f>_xlfn.IFERROR(H109*'2.1.b Veículos'!F$48,"")</f>
        <v>0</v>
      </c>
      <c r="I180" s="416">
        <f>_xlfn.IFERROR(I109*'2.1.b Veículos'!G$48,"")</f>
        <v>0</v>
      </c>
      <c r="J180" s="417"/>
    </row>
    <row r="181" spans="1:10" ht="15" hidden="1">
      <c r="A181" s="415"/>
      <c r="B181" s="415"/>
      <c r="C181" s="415"/>
      <c r="D181" s="415"/>
      <c r="E181" s="385">
        <v>3</v>
      </c>
      <c r="F181" s="416">
        <f>_xlfn.IFERROR(F110*'2.1.b Veículos'!D$48,"")</f>
        <v>0</v>
      </c>
      <c r="G181" s="416">
        <f>_xlfn.IFERROR(G110*'2.1.b Veículos'!E$48,"")</f>
        <v>0</v>
      </c>
      <c r="H181" s="416">
        <f>_xlfn.IFERROR(H110*'2.1.b Veículos'!F$48,"")</f>
        <v>0</v>
      </c>
      <c r="I181" s="416">
        <f>_xlfn.IFERROR(I110*'2.1.b Veículos'!G$48,"")</f>
        <v>0</v>
      </c>
      <c r="J181" s="417"/>
    </row>
    <row r="182" spans="1:10" ht="15" hidden="1">
      <c r="A182" s="415"/>
      <c r="B182" s="415"/>
      <c r="C182" s="415"/>
      <c r="D182" s="415"/>
      <c r="E182" s="385">
        <v>4</v>
      </c>
      <c r="F182" s="416">
        <f>_xlfn.IFERROR(F111*'2.1.b Veículos'!D$48,"")</f>
        <v>0</v>
      </c>
      <c r="G182" s="416">
        <f>_xlfn.IFERROR(G111*'2.1.b Veículos'!E$48,"")</f>
        <v>0</v>
      </c>
      <c r="H182" s="416">
        <f>_xlfn.IFERROR(H111*'2.1.b Veículos'!F$48,"")</f>
        <v>0</v>
      </c>
      <c r="I182" s="416">
        <f>_xlfn.IFERROR(I111*'2.1.b Veículos'!G$48,"")</f>
        <v>0</v>
      </c>
      <c r="J182" s="417"/>
    </row>
    <row r="183" spans="1:10" ht="15" hidden="1">
      <c r="A183" s="415"/>
      <c r="B183" s="415"/>
      <c r="C183" s="415"/>
      <c r="D183" s="415"/>
      <c r="E183" s="385">
        <v>5</v>
      </c>
      <c r="F183" s="416">
        <f>_xlfn.IFERROR(F112*'2.1.b Veículos'!D$48,"")</f>
        <v>0</v>
      </c>
      <c r="G183" s="416">
        <f>_xlfn.IFERROR(G112*'2.1.b Veículos'!E$48,"")</f>
        <v>0</v>
      </c>
      <c r="H183" s="416">
        <f>_xlfn.IFERROR(H112*'2.1.b Veículos'!F$48,"")</f>
        <v>0</v>
      </c>
      <c r="I183" s="416">
        <f>_xlfn.IFERROR(I112*'2.1.b Veículos'!G$48,"")</f>
        <v>0</v>
      </c>
      <c r="J183" s="417"/>
    </row>
    <row r="184" spans="1:10" ht="15" hidden="1">
      <c r="A184" s="415" t="s">
        <v>126</v>
      </c>
      <c r="B184" s="415"/>
      <c r="C184" s="415"/>
      <c r="D184" s="415"/>
      <c r="E184" s="385">
        <v>0</v>
      </c>
      <c r="F184" s="416">
        <f>_xlfn.IFERROR(F113*'2.1.b Veículos'!D$49,"")</f>
        <v>0</v>
      </c>
      <c r="G184" s="416">
        <f>_xlfn.IFERROR(G113*'2.1.b Veículos'!E$49,"")</f>
        <v>0</v>
      </c>
      <c r="H184" s="416">
        <f>_xlfn.IFERROR(H113*'2.1.b Veículos'!F$49,"")</f>
        <v>0</v>
      </c>
      <c r="I184" s="416">
        <f>_xlfn.IFERROR(I113*'2.1.b Veículos'!G$49,"")</f>
        <v>0</v>
      </c>
      <c r="J184" s="417"/>
    </row>
    <row r="185" spans="1:10" ht="15" hidden="1">
      <c r="A185" s="415"/>
      <c r="B185" s="415"/>
      <c r="C185" s="415"/>
      <c r="D185" s="415"/>
      <c r="E185" s="385">
        <v>1</v>
      </c>
      <c r="F185" s="416">
        <f>_xlfn.IFERROR(F114*'2.1.b Veículos'!D$49,"")</f>
        <v>0</v>
      </c>
      <c r="G185" s="416">
        <f>_xlfn.IFERROR(G114*'2.1.b Veículos'!E$49,"")</f>
        <v>0</v>
      </c>
      <c r="H185" s="416">
        <f>_xlfn.IFERROR(H114*'2.1.b Veículos'!F$49,"")</f>
        <v>0</v>
      </c>
      <c r="I185" s="416">
        <f>_xlfn.IFERROR(I114*'2.1.b Veículos'!G$49,"")</f>
        <v>0</v>
      </c>
      <c r="J185" s="417"/>
    </row>
    <row r="186" spans="1:10" ht="15" hidden="1">
      <c r="A186" s="415"/>
      <c r="B186" s="415"/>
      <c r="C186" s="415"/>
      <c r="D186" s="415"/>
      <c r="E186" s="385">
        <v>2</v>
      </c>
      <c r="F186" s="416">
        <f>_xlfn.IFERROR(F115*'2.1.b Veículos'!D$49,"")</f>
        <v>0</v>
      </c>
      <c r="G186" s="416">
        <f>_xlfn.IFERROR(G115*'2.1.b Veículos'!E$49,"")</f>
        <v>0</v>
      </c>
      <c r="H186" s="416">
        <f>_xlfn.IFERROR(H115*'2.1.b Veículos'!F$49,"")</f>
        <v>0</v>
      </c>
      <c r="I186" s="416">
        <f>_xlfn.IFERROR(I115*'2.1.b Veículos'!G$49,"")</f>
        <v>0</v>
      </c>
      <c r="J186" s="417"/>
    </row>
    <row r="187" spans="1:10" ht="15" hidden="1">
      <c r="A187" s="415"/>
      <c r="B187" s="415"/>
      <c r="C187" s="415"/>
      <c r="D187" s="415"/>
      <c r="E187" s="385">
        <v>3</v>
      </c>
      <c r="F187" s="416">
        <f>_xlfn.IFERROR(F116*'2.1.b Veículos'!D$49,"")</f>
        <v>0</v>
      </c>
      <c r="G187" s="416">
        <f>_xlfn.IFERROR(G116*'2.1.b Veículos'!E$49,"")</f>
        <v>0</v>
      </c>
      <c r="H187" s="416">
        <f>_xlfn.IFERROR(H116*'2.1.b Veículos'!F$49,"")</f>
        <v>0</v>
      </c>
      <c r="I187" s="416">
        <f>_xlfn.IFERROR(I116*'2.1.b Veículos'!G$49,"")</f>
        <v>0</v>
      </c>
      <c r="J187" s="417"/>
    </row>
    <row r="188" spans="1:10" ht="15" hidden="1">
      <c r="A188" s="415"/>
      <c r="B188" s="415"/>
      <c r="C188" s="415"/>
      <c r="D188" s="415"/>
      <c r="E188" s="385">
        <v>4</v>
      </c>
      <c r="F188" s="416">
        <f>_xlfn.IFERROR(F117*'2.1.b Veículos'!D$49,"")</f>
        <v>0</v>
      </c>
      <c r="G188" s="416">
        <f>_xlfn.IFERROR(G117*'2.1.b Veículos'!E$49,"")</f>
        <v>0</v>
      </c>
      <c r="H188" s="416">
        <f>_xlfn.IFERROR(H117*'2.1.b Veículos'!F$49,"")</f>
        <v>0</v>
      </c>
      <c r="I188" s="416">
        <f>_xlfn.IFERROR(I117*'2.1.b Veículos'!G$49,"")</f>
        <v>0</v>
      </c>
      <c r="J188" s="417"/>
    </row>
    <row r="189" spans="1:10" ht="15" hidden="1">
      <c r="A189" s="415"/>
      <c r="B189" s="415"/>
      <c r="C189" s="415"/>
      <c r="D189" s="415"/>
      <c r="E189" s="385">
        <v>5</v>
      </c>
      <c r="F189" s="416">
        <f>_xlfn.IFERROR(F118*'2.1.b Veículos'!D$49,"")</f>
        <v>0</v>
      </c>
      <c r="G189" s="416">
        <f>_xlfn.IFERROR(G118*'2.1.b Veículos'!E$49,"")</f>
        <v>0</v>
      </c>
      <c r="H189" s="416">
        <f>_xlfn.IFERROR(H118*'2.1.b Veículos'!F$49,"")</f>
        <v>0</v>
      </c>
      <c r="I189" s="416">
        <f>_xlfn.IFERROR(I118*'2.1.b Veículos'!G$49,"")</f>
        <v>0</v>
      </c>
      <c r="J189" s="417"/>
    </row>
    <row r="190" spans="1:10" ht="15" hidden="1">
      <c r="A190" s="415" t="s">
        <v>130</v>
      </c>
      <c r="B190" s="415"/>
      <c r="C190" s="415"/>
      <c r="D190" s="415"/>
      <c r="E190" s="385">
        <v>0</v>
      </c>
      <c r="F190" s="416">
        <f>_xlfn.IFERROR(F119*'2.1.b Veículos'!D$50,"")</f>
        <v>0</v>
      </c>
      <c r="G190" s="416">
        <f>_xlfn.IFERROR(G119*'2.1.b Veículos'!E$50,"")</f>
        <v>0</v>
      </c>
      <c r="H190" s="416">
        <f>_xlfn.IFERROR(H119*'2.1.b Veículos'!F$50,"")</f>
        <v>0</v>
      </c>
      <c r="I190" s="416">
        <f>_xlfn.IFERROR(I119*'2.1.b Veículos'!G$50,"")</f>
        <v>0</v>
      </c>
      <c r="J190" s="417"/>
    </row>
    <row r="191" spans="1:10" ht="15" hidden="1">
      <c r="A191" s="415"/>
      <c r="B191" s="415"/>
      <c r="C191" s="415"/>
      <c r="D191" s="415"/>
      <c r="E191" s="385">
        <v>1</v>
      </c>
      <c r="F191" s="416">
        <f>_xlfn.IFERROR(F120*'2.1.b Veículos'!D$50,"")</f>
        <v>0</v>
      </c>
      <c r="G191" s="416">
        <f>_xlfn.IFERROR(G120*'2.1.b Veículos'!E$50,"")</f>
        <v>0</v>
      </c>
      <c r="H191" s="416">
        <f>_xlfn.IFERROR(H120*'2.1.b Veículos'!F$50,"")</f>
        <v>0</v>
      </c>
      <c r="I191" s="416">
        <f>_xlfn.IFERROR(I120*'2.1.b Veículos'!G$50,"")</f>
        <v>0</v>
      </c>
      <c r="J191" s="417"/>
    </row>
    <row r="192" spans="1:10" ht="15" hidden="1">
      <c r="A192" s="415"/>
      <c r="B192" s="415"/>
      <c r="C192" s="415"/>
      <c r="D192" s="415"/>
      <c r="E192" s="385">
        <v>2</v>
      </c>
      <c r="F192" s="416">
        <f>_xlfn.IFERROR(F121*'2.1.b Veículos'!D$50,"")</f>
        <v>0</v>
      </c>
      <c r="G192" s="416">
        <f>_xlfn.IFERROR(G121*'2.1.b Veículos'!E$50,"")</f>
        <v>0</v>
      </c>
      <c r="H192" s="416">
        <f>_xlfn.IFERROR(H121*'2.1.b Veículos'!F$50,"")</f>
        <v>0</v>
      </c>
      <c r="I192" s="416">
        <f>_xlfn.IFERROR(I121*'2.1.b Veículos'!G$50,"")</f>
        <v>0</v>
      </c>
      <c r="J192" s="417"/>
    </row>
    <row r="193" spans="1:10" ht="15" hidden="1">
      <c r="A193" s="415"/>
      <c r="B193" s="415"/>
      <c r="C193" s="415"/>
      <c r="D193" s="415"/>
      <c r="E193" s="385">
        <v>3</v>
      </c>
      <c r="F193" s="416">
        <f>_xlfn.IFERROR(F122*'2.1.b Veículos'!D$50,"")</f>
        <v>0</v>
      </c>
      <c r="G193" s="416">
        <f>_xlfn.IFERROR(G122*'2.1.b Veículos'!E$50,"")</f>
        <v>0</v>
      </c>
      <c r="H193" s="416">
        <f>_xlfn.IFERROR(H122*'2.1.b Veículos'!F$50,"")</f>
        <v>0</v>
      </c>
      <c r="I193" s="416">
        <f>_xlfn.IFERROR(I122*'2.1.b Veículos'!G$50,"")</f>
        <v>0</v>
      </c>
      <c r="J193" s="417"/>
    </row>
    <row r="194" spans="1:10" ht="15" hidden="1">
      <c r="A194" s="415"/>
      <c r="B194" s="415"/>
      <c r="C194" s="415"/>
      <c r="D194" s="415"/>
      <c r="E194" s="385">
        <v>4</v>
      </c>
      <c r="F194" s="416">
        <f>_xlfn.IFERROR(F123*'2.1.b Veículos'!D$50,"")</f>
        <v>0</v>
      </c>
      <c r="G194" s="416">
        <f>_xlfn.IFERROR(G123*'2.1.b Veículos'!E$50,"")</f>
        <v>0</v>
      </c>
      <c r="H194" s="416">
        <f>_xlfn.IFERROR(H123*'2.1.b Veículos'!F$50,"")</f>
        <v>0</v>
      </c>
      <c r="I194" s="416">
        <f>_xlfn.IFERROR(I123*'2.1.b Veículos'!G$50,"")</f>
        <v>0</v>
      </c>
      <c r="J194" s="417"/>
    </row>
    <row r="195" spans="1:10" ht="15" hidden="1">
      <c r="A195" s="415"/>
      <c r="B195" s="415"/>
      <c r="C195" s="415"/>
      <c r="D195" s="415"/>
      <c r="E195" s="385">
        <v>5</v>
      </c>
      <c r="F195" s="416">
        <f>_xlfn.IFERROR(F124*'2.1.b Veículos'!D$50,"")</f>
        <v>0</v>
      </c>
      <c r="G195" s="416">
        <f>_xlfn.IFERROR(G124*'2.1.b Veículos'!E$50,"")</f>
        <v>0</v>
      </c>
      <c r="H195" s="416">
        <f>_xlfn.IFERROR(H124*'2.1.b Veículos'!F$50,"")</f>
        <v>0</v>
      </c>
      <c r="I195" s="416">
        <f>_xlfn.IFERROR(I124*'2.1.b Veículos'!G$50,"")</f>
        <v>0</v>
      </c>
      <c r="J195" s="417"/>
    </row>
    <row r="196" spans="1:10" ht="15" hidden="1">
      <c r="A196" s="415"/>
      <c r="B196" s="415"/>
      <c r="C196" s="415"/>
      <c r="D196" s="415"/>
      <c r="E196" s="385">
        <v>6</v>
      </c>
      <c r="F196" s="416">
        <f>_xlfn.IFERROR(F125*'2.1.b Veículos'!D$50,"")</f>
        <v>0</v>
      </c>
      <c r="G196" s="416">
        <f>_xlfn.IFERROR(G125*'2.1.b Veículos'!E$50,"")</f>
        <v>0</v>
      </c>
      <c r="H196" s="416">
        <f>_xlfn.IFERROR(H125*'2.1.b Veículos'!F$50,"")</f>
        <v>0</v>
      </c>
      <c r="I196" s="416">
        <f>_xlfn.IFERROR(I125*'2.1.b Veículos'!G$50,"")</f>
        <v>0</v>
      </c>
      <c r="J196" s="417"/>
    </row>
    <row r="197" spans="1:10" ht="15" hidden="1">
      <c r="A197" s="415"/>
      <c r="B197" s="415"/>
      <c r="C197" s="415"/>
      <c r="D197" s="415"/>
      <c r="E197" s="385">
        <v>7</v>
      </c>
      <c r="F197" s="416">
        <f>_xlfn.IFERROR(F126*'2.1.b Veículos'!D$50,"")</f>
        <v>0</v>
      </c>
      <c r="G197" s="416">
        <f>_xlfn.IFERROR(G126*'2.1.b Veículos'!E$50,"")</f>
        <v>0</v>
      </c>
      <c r="H197" s="416">
        <f>_xlfn.IFERROR(H126*'2.1.b Veículos'!F$50,"")</f>
        <v>0</v>
      </c>
      <c r="I197" s="416">
        <f>_xlfn.IFERROR(I126*'2.1.b Veículos'!G$50,"")</f>
        <v>0</v>
      </c>
      <c r="J197" s="417"/>
    </row>
    <row r="198" spans="1:10" ht="15" hidden="1">
      <c r="A198" s="415"/>
      <c r="B198" s="415"/>
      <c r="C198" s="415"/>
      <c r="D198" s="415"/>
      <c r="E198" s="385">
        <v>8</v>
      </c>
      <c r="F198" s="416">
        <f>_xlfn.IFERROR(F127*'2.1.b Veículos'!D$50,"")</f>
        <v>0</v>
      </c>
      <c r="G198" s="416">
        <f>_xlfn.IFERROR(G127*'2.1.b Veículos'!E$50,"")</f>
        <v>0</v>
      </c>
      <c r="H198" s="416">
        <f>_xlfn.IFERROR(H127*'2.1.b Veículos'!F$50,"")</f>
        <v>0</v>
      </c>
      <c r="I198" s="416">
        <f>_xlfn.IFERROR(I127*'2.1.b Veículos'!G$50,"")</f>
        <v>0</v>
      </c>
      <c r="J198" s="417"/>
    </row>
    <row r="199" spans="1:10" ht="15">
      <c r="A199" s="415" t="s">
        <v>134</v>
      </c>
      <c r="B199" s="415"/>
      <c r="C199" s="415"/>
      <c r="D199" s="415"/>
      <c r="E199" s="385">
        <v>0</v>
      </c>
      <c r="F199" s="416">
        <f>_xlfn.IFERROR(F128*'2.1.b Veículos'!D$51,"")</f>
        <v>0</v>
      </c>
      <c r="G199" s="416">
        <f>_xlfn.IFERROR(G128*'2.1.b Veículos'!E$51,"")</f>
        <v>0</v>
      </c>
      <c r="H199" s="416">
        <f>_xlfn.IFERROR(H128*'2.1.b Veículos'!F$51,"")</f>
        <v>0</v>
      </c>
      <c r="I199" s="416">
        <f>_xlfn.IFERROR(I128*'2.1.b Veículos'!G$51,"")</f>
        <v>0</v>
      </c>
      <c r="J199" s="417"/>
    </row>
    <row r="200" spans="1:10" ht="15">
      <c r="A200" s="415"/>
      <c r="B200" s="415"/>
      <c r="C200" s="415"/>
      <c r="D200" s="415"/>
      <c r="E200" s="385">
        <v>1</v>
      </c>
      <c r="F200" s="416">
        <f>_xlfn.IFERROR(F129*'2.1.b Veículos'!D$51,"")</f>
        <v>0</v>
      </c>
      <c r="G200" s="416">
        <f>_xlfn.IFERROR(G129*'2.1.b Veículos'!E$51,"")</f>
        <v>0</v>
      </c>
      <c r="H200" s="416">
        <f>_xlfn.IFERROR(H129*'2.1.b Veículos'!F$51,"")</f>
        <v>0</v>
      </c>
      <c r="I200" s="416">
        <f>_xlfn.IFERROR(I129*'2.1.b Veículos'!G$51,"")</f>
        <v>0</v>
      </c>
      <c r="J200" s="417"/>
    </row>
    <row r="201" spans="1:10" ht="15">
      <c r="A201" s="415"/>
      <c r="B201" s="415"/>
      <c r="C201" s="415"/>
      <c r="D201" s="415"/>
      <c r="E201" s="385">
        <v>2</v>
      </c>
      <c r="F201" s="416">
        <f>_xlfn.IFERROR(F130*'2.1.b Veículos'!D$51,"")</f>
        <v>0</v>
      </c>
      <c r="G201" s="416">
        <f>_xlfn.IFERROR(G130*'2.1.b Veículos'!E$51,"")</f>
        <v>0</v>
      </c>
      <c r="H201" s="416">
        <f>_xlfn.IFERROR(H130*'2.1.b Veículos'!F$51,"")</f>
        <v>0</v>
      </c>
      <c r="I201" s="416">
        <f>_xlfn.IFERROR(I130*'2.1.b Veículos'!G$51,"")</f>
        <v>0</v>
      </c>
      <c r="J201" s="417"/>
    </row>
    <row r="202" spans="1:10" ht="15">
      <c r="A202" s="415"/>
      <c r="B202" s="415"/>
      <c r="C202" s="415"/>
      <c r="D202" s="415"/>
      <c r="E202" s="385">
        <v>3</v>
      </c>
      <c r="F202" s="416">
        <f>_xlfn.IFERROR(F131*'2.1.b Veículos'!D$51,"")</f>
        <v>0</v>
      </c>
      <c r="G202" s="416">
        <f>_xlfn.IFERROR(G131*'2.1.b Veículos'!E$51,"")</f>
        <v>0</v>
      </c>
      <c r="H202" s="416">
        <f>_xlfn.IFERROR(H131*'2.1.b Veículos'!F$51,"")</f>
        <v>0</v>
      </c>
      <c r="I202" s="416">
        <f>_xlfn.IFERROR(I131*'2.1.b Veículos'!G$51,"")</f>
        <v>0</v>
      </c>
      <c r="J202" s="417"/>
    </row>
    <row r="203" spans="1:10" ht="15">
      <c r="A203" s="415"/>
      <c r="B203" s="415"/>
      <c r="C203" s="415"/>
      <c r="D203" s="415"/>
      <c r="E203" s="385">
        <v>4</v>
      </c>
      <c r="F203" s="416">
        <f>_xlfn.IFERROR(F132*'2.1.b Veículos'!D$51,"")</f>
        <v>10498.6</v>
      </c>
      <c r="G203" s="416">
        <f>_xlfn.IFERROR(G132*'2.1.b Veículos'!E$51,"")</f>
        <v>0</v>
      </c>
      <c r="H203" s="416">
        <f>_xlfn.IFERROR(H132*'2.1.b Veículos'!F$51,"")</f>
        <v>0</v>
      </c>
      <c r="I203" s="416">
        <f>_xlfn.IFERROR(I132*'2.1.b Veículos'!G$51,"")</f>
        <v>0</v>
      </c>
      <c r="J203" s="417"/>
    </row>
    <row r="204" spans="1:10" ht="15">
      <c r="A204" s="415"/>
      <c r="B204" s="415"/>
      <c r="C204" s="415"/>
      <c r="D204" s="415"/>
      <c r="E204" s="385">
        <v>5</v>
      </c>
      <c r="F204" s="416">
        <f>_xlfn.IFERROR(F133*'2.1.b Veículos'!D$51,"")</f>
        <v>0</v>
      </c>
      <c r="G204" s="416">
        <f>_xlfn.IFERROR(G133*'2.1.b Veículos'!E$51,"")</f>
        <v>0</v>
      </c>
      <c r="H204" s="416">
        <f>_xlfn.IFERROR(H133*'2.1.b Veículos'!F$51,"")</f>
        <v>9133.450000000003</v>
      </c>
      <c r="I204" s="416">
        <f>_xlfn.IFERROR(I133*'2.1.b Veículos'!G$51,"")</f>
        <v>0</v>
      </c>
      <c r="J204" s="417"/>
    </row>
    <row r="205" spans="1:10" ht="15">
      <c r="A205" s="415"/>
      <c r="B205" s="415"/>
      <c r="C205" s="415"/>
      <c r="D205" s="415"/>
      <c r="E205" s="385">
        <v>6</v>
      </c>
      <c r="F205" s="416">
        <f>_xlfn.IFERROR(F134*'2.1.b Veículos'!D$51,"")</f>
        <v>0</v>
      </c>
      <c r="G205" s="416">
        <f>_xlfn.IFERROR(G134*'2.1.b Veículos'!E$51,"")</f>
        <v>0</v>
      </c>
      <c r="H205" s="416">
        <f>_xlfn.IFERROR(H134*'2.1.b Veículos'!F$51,"")</f>
        <v>0</v>
      </c>
      <c r="I205" s="416">
        <f>_xlfn.IFERROR(I134*'2.1.b Veículos'!G$51,"")</f>
        <v>0</v>
      </c>
      <c r="J205" s="417"/>
    </row>
    <row r="206" spans="1:10" ht="15">
      <c r="A206" s="415"/>
      <c r="B206" s="415"/>
      <c r="C206" s="415"/>
      <c r="D206" s="415"/>
      <c r="E206" s="385">
        <v>7</v>
      </c>
      <c r="F206" s="416">
        <f>_xlfn.IFERROR(F135*'2.1.b Veículos'!D$51,"")</f>
        <v>0</v>
      </c>
      <c r="G206" s="416">
        <f>_xlfn.IFERROR(G135*'2.1.b Veículos'!E$51,"")</f>
        <v>0</v>
      </c>
      <c r="H206" s="416">
        <f>_xlfn.IFERROR(H135*'2.1.b Veículos'!F$51,"")</f>
        <v>0</v>
      </c>
      <c r="I206" s="416">
        <f>_xlfn.IFERROR(I135*'2.1.b Veículos'!G$51,"")</f>
        <v>0</v>
      </c>
      <c r="J206" s="417"/>
    </row>
    <row r="207" spans="1:10" ht="15">
      <c r="A207" s="415"/>
      <c r="B207" s="415"/>
      <c r="C207" s="415"/>
      <c r="D207" s="415"/>
      <c r="E207" s="385">
        <v>8</v>
      </c>
      <c r="F207" s="416">
        <f>_xlfn.IFERROR(F136*'2.1.b Veículos'!D$51,"")</f>
        <v>0</v>
      </c>
      <c r="G207" s="416">
        <f>_xlfn.IFERROR(G136*'2.1.b Veículos'!E$51,"")</f>
        <v>0</v>
      </c>
      <c r="H207" s="416">
        <f>_xlfn.IFERROR(H136*'2.1.b Veículos'!F$51,"")</f>
        <v>0</v>
      </c>
      <c r="I207" s="416">
        <f>_xlfn.IFERROR(I136*'2.1.b Veículos'!G$51,"")</f>
        <v>0</v>
      </c>
      <c r="J207" s="417"/>
    </row>
    <row r="208" spans="1:10" ht="15" hidden="1">
      <c r="A208" s="415" t="s">
        <v>138</v>
      </c>
      <c r="B208" s="415"/>
      <c r="C208" s="415"/>
      <c r="D208" s="415"/>
      <c r="E208" s="385">
        <v>0</v>
      </c>
      <c r="F208" s="416">
        <f>_xlfn.IFERROR(F137*'2.1.b Veículos'!D$52,"")</f>
        <v>0</v>
      </c>
      <c r="G208" s="416">
        <f>_xlfn.IFERROR(G137*'2.1.b Veículos'!E$52,"")</f>
        <v>0</v>
      </c>
      <c r="H208" s="416">
        <f>_xlfn.IFERROR(H137*'2.1.b Veículos'!F$52,"")</f>
        <v>0</v>
      </c>
      <c r="I208" s="416">
        <f>_xlfn.IFERROR(I137*'2.1.b Veículos'!G$52,"")</f>
        <v>0</v>
      </c>
      <c r="J208" s="417"/>
    </row>
    <row r="209" spans="1:10" ht="15" hidden="1">
      <c r="A209" s="415"/>
      <c r="B209" s="415"/>
      <c r="C209" s="415"/>
      <c r="D209" s="415"/>
      <c r="E209" s="385">
        <v>1</v>
      </c>
      <c r="F209" s="416">
        <f>_xlfn.IFERROR(F138*'2.1.b Veículos'!D$52,"")</f>
        <v>0</v>
      </c>
      <c r="G209" s="416">
        <f>_xlfn.IFERROR(G138*'2.1.b Veículos'!E$52,"")</f>
        <v>0</v>
      </c>
      <c r="H209" s="416">
        <f>_xlfn.IFERROR(H138*'2.1.b Veículos'!F$52,"")</f>
        <v>0</v>
      </c>
      <c r="I209" s="416">
        <f>_xlfn.IFERROR(I138*'2.1.b Veículos'!G$52,"")</f>
        <v>0</v>
      </c>
      <c r="J209" s="417"/>
    </row>
    <row r="210" spans="1:10" ht="15" hidden="1">
      <c r="A210" s="415"/>
      <c r="B210" s="415"/>
      <c r="C210" s="415"/>
      <c r="D210" s="415"/>
      <c r="E210" s="385">
        <v>2</v>
      </c>
      <c r="F210" s="416">
        <f>_xlfn.IFERROR(F139*'2.1.b Veículos'!D$52,"")</f>
        <v>0</v>
      </c>
      <c r="G210" s="416">
        <f>_xlfn.IFERROR(G139*'2.1.b Veículos'!E$52,"")</f>
        <v>0</v>
      </c>
      <c r="H210" s="416">
        <f>_xlfn.IFERROR(H139*'2.1.b Veículos'!F$52,"")</f>
        <v>0</v>
      </c>
      <c r="I210" s="416">
        <f>_xlfn.IFERROR(I139*'2.1.b Veículos'!G$52,"")</f>
        <v>0</v>
      </c>
      <c r="J210" s="417"/>
    </row>
    <row r="211" spans="1:10" ht="15" hidden="1">
      <c r="A211" s="415"/>
      <c r="B211" s="415"/>
      <c r="C211" s="415"/>
      <c r="D211" s="415"/>
      <c r="E211" s="385">
        <v>3</v>
      </c>
      <c r="F211" s="416">
        <f>_xlfn.IFERROR(F140*'2.1.b Veículos'!D$52,"")</f>
        <v>0</v>
      </c>
      <c r="G211" s="416">
        <f>_xlfn.IFERROR(G140*'2.1.b Veículos'!E$52,"")</f>
        <v>0</v>
      </c>
      <c r="H211" s="416">
        <f>_xlfn.IFERROR(H140*'2.1.b Veículos'!F$52,"")</f>
        <v>0</v>
      </c>
      <c r="I211" s="416">
        <f>_xlfn.IFERROR(I140*'2.1.b Veículos'!G$52,"")</f>
        <v>0</v>
      </c>
      <c r="J211" s="417"/>
    </row>
    <row r="212" spans="1:10" ht="15" hidden="1">
      <c r="A212" s="415"/>
      <c r="B212" s="415"/>
      <c r="C212" s="415"/>
      <c r="D212" s="415"/>
      <c r="E212" s="385">
        <v>4</v>
      </c>
      <c r="F212" s="416">
        <f>_xlfn.IFERROR(F141*'2.1.b Veículos'!D$52,"")</f>
        <v>0</v>
      </c>
      <c r="G212" s="416">
        <f>_xlfn.IFERROR(G141*'2.1.b Veículos'!E$52,"")</f>
        <v>0</v>
      </c>
      <c r="H212" s="416">
        <f>_xlfn.IFERROR(H141*'2.1.b Veículos'!F$52,"")</f>
        <v>0</v>
      </c>
      <c r="I212" s="416">
        <f>_xlfn.IFERROR(I141*'2.1.b Veículos'!G$52,"")</f>
        <v>0</v>
      </c>
      <c r="J212" s="417"/>
    </row>
    <row r="213" spans="1:10" ht="15" hidden="1">
      <c r="A213" s="415"/>
      <c r="B213" s="415"/>
      <c r="C213" s="415"/>
      <c r="D213" s="415"/>
      <c r="E213" s="385">
        <v>5</v>
      </c>
      <c r="F213" s="416">
        <f>_xlfn.IFERROR(F142*'2.1.b Veículos'!D$52,"")</f>
        <v>0</v>
      </c>
      <c r="G213" s="416">
        <f>_xlfn.IFERROR(G142*'2.1.b Veículos'!E$52,"")</f>
        <v>0</v>
      </c>
      <c r="H213" s="416">
        <f>_xlfn.IFERROR(H142*'2.1.b Veículos'!F$52,"")</f>
        <v>0</v>
      </c>
      <c r="I213" s="416">
        <f>_xlfn.IFERROR(I142*'2.1.b Veículos'!G$52,"")</f>
        <v>0</v>
      </c>
      <c r="J213" s="417"/>
    </row>
    <row r="214" spans="1:10" ht="15" hidden="1">
      <c r="A214" s="415"/>
      <c r="B214" s="415"/>
      <c r="C214" s="415"/>
      <c r="D214" s="415"/>
      <c r="E214" s="385">
        <v>6</v>
      </c>
      <c r="F214" s="416">
        <f>_xlfn.IFERROR(F143*'2.1.b Veículos'!D$52,"")</f>
        <v>0</v>
      </c>
      <c r="G214" s="416">
        <f>_xlfn.IFERROR(G143*'2.1.b Veículos'!E$52,"")</f>
        <v>0</v>
      </c>
      <c r="H214" s="416">
        <f>_xlfn.IFERROR(H143*'2.1.b Veículos'!F$52,"")</f>
        <v>0</v>
      </c>
      <c r="I214" s="416">
        <f>_xlfn.IFERROR(I143*'2.1.b Veículos'!G$52,"")</f>
        <v>0</v>
      </c>
      <c r="J214" s="417"/>
    </row>
    <row r="215" spans="1:10" ht="15" hidden="1">
      <c r="A215" s="415"/>
      <c r="B215" s="415"/>
      <c r="C215" s="415"/>
      <c r="D215" s="415"/>
      <c r="E215" s="385">
        <v>7</v>
      </c>
      <c r="F215" s="416">
        <f>_xlfn.IFERROR(F144*'2.1.b Veículos'!D$52,"")</f>
        <v>0</v>
      </c>
      <c r="G215" s="416">
        <f>_xlfn.IFERROR(G144*'2.1.b Veículos'!E$52,"")</f>
        <v>0</v>
      </c>
      <c r="H215" s="416">
        <f>_xlfn.IFERROR(H144*'2.1.b Veículos'!F$52,"")</f>
        <v>0</v>
      </c>
      <c r="I215" s="416">
        <f>_xlfn.IFERROR(I144*'2.1.b Veículos'!G$52,"")</f>
        <v>0</v>
      </c>
      <c r="J215" s="417"/>
    </row>
    <row r="216" spans="1:10" ht="15" hidden="1">
      <c r="A216" s="415"/>
      <c r="B216" s="415"/>
      <c r="C216" s="415"/>
      <c r="D216" s="415"/>
      <c r="E216" s="385">
        <v>8</v>
      </c>
      <c r="F216" s="416">
        <f>_xlfn.IFERROR(F145*'2.1.b Veículos'!D$52,"")</f>
        <v>0</v>
      </c>
      <c r="G216" s="416">
        <f>_xlfn.IFERROR(G145*'2.1.b Veículos'!E$52,"")</f>
        <v>0</v>
      </c>
      <c r="H216" s="416">
        <f>_xlfn.IFERROR(H145*'2.1.b Veículos'!F$52,"")</f>
        <v>0</v>
      </c>
      <c r="I216" s="416">
        <f>_xlfn.IFERROR(I145*'2.1.b Veículos'!G$52,"")</f>
        <v>0</v>
      </c>
      <c r="J216" s="417"/>
    </row>
    <row r="217" spans="1:10" ht="15" hidden="1">
      <c r="A217" s="415"/>
      <c r="B217" s="415"/>
      <c r="C217" s="415"/>
      <c r="D217" s="415"/>
      <c r="E217" s="385">
        <v>9</v>
      </c>
      <c r="F217" s="416">
        <f>_xlfn.IFERROR(F146*'2.1.b Veículos'!D$52,"")</f>
        <v>0</v>
      </c>
      <c r="G217" s="416">
        <f>_xlfn.IFERROR(G146*'2.1.b Veículos'!E$52,"")</f>
        <v>0</v>
      </c>
      <c r="H217" s="416">
        <f>_xlfn.IFERROR(H146*'2.1.b Veículos'!F$52,"")</f>
        <v>0</v>
      </c>
      <c r="I217" s="416">
        <f>_xlfn.IFERROR(I146*'2.1.b Veículos'!G$52,"")</f>
        <v>0</v>
      </c>
      <c r="J217" s="417"/>
    </row>
    <row r="218" spans="1:10" ht="15" hidden="1">
      <c r="A218" s="415"/>
      <c r="B218" s="415"/>
      <c r="C218" s="415"/>
      <c r="D218" s="415"/>
      <c r="E218" s="385">
        <v>10</v>
      </c>
      <c r="F218" s="416">
        <f>_xlfn.IFERROR(F147*'2.1.b Veículos'!D$52,"")</f>
        <v>0</v>
      </c>
      <c r="G218" s="416">
        <f>_xlfn.IFERROR(G147*'2.1.b Veículos'!E$52,"")</f>
        <v>0</v>
      </c>
      <c r="H218" s="416">
        <f>_xlfn.IFERROR(H147*'2.1.b Veículos'!F$52,"")</f>
        <v>0</v>
      </c>
      <c r="I218" s="416">
        <f>_xlfn.IFERROR(I147*'2.1.b Veículos'!G$52,"")</f>
        <v>0</v>
      </c>
      <c r="J218" s="417"/>
    </row>
    <row r="219" spans="1:10" ht="15" hidden="1">
      <c r="A219" s="418" t="s">
        <v>140</v>
      </c>
      <c r="B219" s="418"/>
      <c r="C219" s="418"/>
      <c r="D219" s="418"/>
      <c r="E219" s="385">
        <v>0</v>
      </c>
      <c r="F219" s="416">
        <f>_xlfn.IFERROR(F148*'2.1.b Veículos'!D$53,"")</f>
        <v>0</v>
      </c>
      <c r="G219" s="416">
        <f>_xlfn.IFERROR(G148*'2.1.b Veículos'!E$53,"")</f>
        <v>0</v>
      </c>
      <c r="H219" s="416">
        <f>_xlfn.IFERROR(H148*'2.1.b Veículos'!F$53,"")</f>
        <v>0</v>
      </c>
      <c r="I219" s="416">
        <f>_xlfn.IFERROR(I148*'2.1.b Veículos'!G$53,"")</f>
        <v>0</v>
      </c>
      <c r="J219" s="417"/>
    </row>
    <row r="220" spans="1:10" ht="15" hidden="1">
      <c r="A220" s="418"/>
      <c r="B220" s="418"/>
      <c r="C220" s="418"/>
      <c r="D220" s="418"/>
      <c r="E220" s="385">
        <v>1</v>
      </c>
      <c r="F220" s="416">
        <f>_xlfn.IFERROR(F149*'2.1.b Veículos'!D$53,"")</f>
        <v>0</v>
      </c>
      <c r="G220" s="416">
        <f>_xlfn.IFERROR(G149*'2.1.b Veículos'!E$53,"")</f>
        <v>0</v>
      </c>
      <c r="H220" s="416">
        <f>_xlfn.IFERROR(H149*'2.1.b Veículos'!F$53,"")</f>
        <v>0</v>
      </c>
      <c r="I220" s="416">
        <f>_xlfn.IFERROR(I149*'2.1.b Veículos'!G$53,"")</f>
        <v>0</v>
      </c>
      <c r="J220" s="417"/>
    </row>
    <row r="221" spans="1:10" ht="15" hidden="1">
      <c r="A221" s="418"/>
      <c r="B221" s="418"/>
      <c r="C221" s="418"/>
      <c r="D221" s="418"/>
      <c r="E221" s="385">
        <v>2</v>
      </c>
      <c r="F221" s="416">
        <f>_xlfn.IFERROR(F150*'2.1.b Veículos'!D$53,"")</f>
        <v>0</v>
      </c>
      <c r="G221" s="416">
        <f>_xlfn.IFERROR(G150*'2.1.b Veículos'!E$53,"")</f>
        <v>0</v>
      </c>
      <c r="H221" s="416">
        <f>_xlfn.IFERROR(H150*'2.1.b Veículos'!F$53,"")</f>
        <v>0</v>
      </c>
      <c r="I221" s="416">
        <f>_xlfn.IFERROR(I150*'2.1.b Veículos'!G$53,"")</f>
        <v>0</v>
      </c>
      <c r="J221" s="417"/>
    </row>
    <row r="222" spans="1:10" ht="15" hidden="1">
      <c r="A222" s="418"/>
      <c r="B222" s="418"/>
      <c r="C222" s="418"/>
      <c r="D222" s="418"/>
      <c r="E222" s="385">
        <v>3</v>
      </c>
      <c r="F222" s="416">
        <f>_xlfn.IFERROR(F151*'2.1.b Veículos'!D$53,"")</f>
        <v>0</v>
      </c>
      <c r="G222" s="416">
        <f>_xlfn.IFERROR(G151*'2.1.b Veículos'!E$53,"")</f>
        <v>0</v>
      </c>
      <c r="H222" s="416">
        <f>_xlfn.IFERROR(H151*'2.1.b Veículos'!F$53,"")</f>
        <v>0</v>
      </c>
      <c r="I222" s="416">
        <f>_xlfn.IFERROR(I151*'2.1.b Veículos'!G$53,"")</f>
        <v>0</v>
      </c>
      <c r="J222" s="417"/>
    </row>
    <row r="223" spans="1:10" ht="15" hidden="1">
      <c r="A223" s="418"/>
      <c r="B223" s="418"/>
      <c r="C223" s="418"/>
      <c r="D223" s="418"/>
      <c r="E223" s="385">
        <v>4</v>
      </c>
      <c r="F223" s="416">
        <f>_xlfn.IFERROR(F152*'2.1.b Veículos'!D$53,"")</f>
        <v>0</v>
      </c>
      <c r="G223" s="416">
        <f>_xlfn.IFERROR(G152*'2.1.b Veículos'!E$53,"")</f>
        <v>0</v>
      </c>
      <c r="H223" s="416">
        <f>_xlfn.IFERROR(H152*'2.1.b Veículos'!F$53,"")</f>
        <v>0</v>
      </c>
      <c r="I223" s="416">
        <f>_xlfn.IFERROR(I152*'2.1.b Veículos'!G$53,"")</f>
        <v>0</v>
      </c>
      <c r="J223" s="417"/>
    </row>
    <row r="224" spans="1:10" ht="15" hidden="1">
      <c r="A224" s="418"/>
      <c r="B224" s="418"/>
      <c r="C224" s="418"/>
      <c r="D224" s="418"/>
      <c r="E224" s="385">
        <v>5</v>
      </c>
      <c r="F224" s="416">
        <f>_xlfn.IFERROR(F153*'2.1.b Veículos'!D$53,"")</f>
        <v>0</v>
      </c>
      <c r="G224" s="416">
        <f>_xlfn.IFERROR(G153*'2.1.b Veículos'!E$53,"")</f>
        <v>0</v>
      </c>
      <c r="H224" s="416">
        <f>_xlfn.IFERROR(H153*'2.1.b Veículos'!F$53,"")</f>
        <v>0</v>
      </c>
      <c r="I224" s="416">
        <f>_xlfn.IFERROR(I153*'2.1.b Veículos'!G$53,"")</f>
        <v>0</v>
      </c>
      <c r="J224" s="417"/>
    </row>
    <row r="225" spans="1:10" ht="15" hidden="1">
      <c r="A225" s="418"/>
      <c r="B225" s="418"/>
      <c r="C225" s="418"/>
      <c r="D225" s="418"/>
      <c r="E225" s="385">
        <v>6</v>
      </c>
      <c r="F225" s="416">
        <f>_xlfn.IFERROR(F154*'2.1.b Veículos'!D$53,"")</f>
        <v>0</v>
      </c>
      <c r="G225" s="416">
        <f>_xlfn.IFERROR(G154*'2.1.b Veículos'!E$53,"")</f>
        <v>0</v>
      </c>
      <c r="H225" s="416">
        <f>_xlfn.IFERROR(H154*'2.1.b Veículos'!F$53,"")</f>
        <v>0</v>
      </c>
      <c r="I225" s="416">
        <f>_xlfn.IFERROR(I154*'2.1.b Veículos'!G$53,"")</f>
        <v>0</v>
      </c>
      <c r="J225" s="417"/>
    </row>
    <row r="226" spans="1:10" ht="15" hidden="1">
      <c r="A226" s="418"/>
      <c r="B226" s="418"/>
      <c r="C226" s="418"/>
      <c r="D226" s="418"/>
      <c r="E226" s="385">
        <v>7</v>
      </c>
      <c r="F226" s="416">
        <f>_xlfn.IFERROR(F155*'2.1.b Veículos'!D$53,"")</f>
        <v>0</v>
      </c>
      <c r="G226" s="416">
        <f>_xlfn.IFERROR(G155*'2.1.b Veículos'!E$53,"")</f>
        <v>0</v>
      </c>
      <c r="H226" s="416">
        <f>_xlfn.IFERROR(H155*'2.1.b Veículos'!F$53,"")</f>
        <v>0</v>
      </c>
      <c r="I226" s="416">
        <f>_xlfn.IFERROR(I155*'2.1.b Veículos'!G$53,"")</f>
        <v>0</v>
      </c>
      <c r="J226" s="417"/>
    </row>
    <row r="227" spans="1:10" ht="15" hidden="1">
      <c r="A227" s="418"/>
      <c r="B227" s="418"/>
      <c r="C227" s="418"/>
      <c r="D227" s="418"/>
      <c r="E227" s="385">
        <v>8</v>
      </c>
      <c r="F227" s="416">
        <f>_xlfn.IFERROR(F156*'2.1.b Veículos'!D$53,"")</f>
        <v>0</v>
      </c>
      <c r="G227" s="416">
        <f>_xlfn.IFERROR(G156*'2.1.b Veículos'!E$53,"")</f>
        <v>0</v>
      </c>
      <c r="H227" s="416">
        <f>_xlfn.IFERROR(H156*'2.1.b Veículos'!F$53,"")</f>
        <v>0</v>
      </c>
      <c r="I227" s="416">
        <f>_xlfn.IFERROR(I156*'2.1.b Veículos'!G$53,"")</f>
        <v>0</v>
      </c>
      <c r="J227" s="417"/>
    </row>
    <row r="228" spans="1:10" ht="15" hidden="1">
      <c r="A228" s="418"/>
      <c r="B228" s="418"/>
      <c r="C228" s="418"/>
      <c r="D228" s="418"/>
      <c r="E228" s="385">
        <v>9</v>
      </c>
      <c r="F228" s="416">
        <f>_xlfn.IFERROR(F157*'2.1.b Veículos'!D$53,"")</f>
        <v>0</v>
      </c>
      <c r="G228" s="416">
        <f>_xlfn.IFERROR(G157*'2.1.b Veículos'!E$53,"")</f>
        <v>0</v>
      </c>
      <c r="H228" s="416">
        <f>_xlfn.IFERROR(H157*'2.1.b Veículos'!F$53,"")</f>
        <v>0</v>
      </c>
      <c r="I228" s="416">
        <f>_xlfn.IFERROR(I157*'2.1.b Veículos'!G$53,"")</f>
        <v>0</v>
      </c>
      <c r="J228" s="417"/>
    </row>
    <row r="229" spans="1:10" ht="15" hidden="1">
      <c r="A229" s="418"/>
      <c r="B229" s="418"/>
      <c r="C229" s="418"/>
      <c r="D229" s="418"/>
      <c r="E229" s="385">
        <v>10</v>
      </c>
      <c r="F229" s="416">
        <f>_xlfn.IFERROR(F158*'2.1.b Veículos'!D$53,"")</f>
        <v>0</v>
      </c>
      <c r="G229" s="416">
        <f>_xlfn.IFERROR(G158*'2.1.b Veículos'!E$53,"")</f>
        <v>0</v>
      </c>
      <c r="H229" s="416">
        <f>_xlfn.IFERROR(H158*'2.1.b Veículos'!F$53,"")</f>
        <v>0</v>
      </c>
      <c r="I229" s="416">
        <f>_xlfn.IFERROR(I158*'2.1.b Veículos'!G$53,"")</f>
        <v>0</v>
      </c>
      <c r="J229" s="417"/>
    </row>
    <row r="230" spans="1:10" ht="15" hidden="1">
      <c r="A230" s="418"/>
      <c r="B230" s="418"/>
      <c r="C230" s="418"/>
      <c r="D230" s="418"/>
      <c r="E230" s="385">
        <v>11</v>
      </c>
      <c r="F230" s="416">
        <f>_xlfn.IFERROR(F159*'2.1.b Veículos'!D$53,"")</f>
        <v>0</v>
      </c>
      <c r="G230" s="416">
        <f>_xlfn.IFERROR(G159*'2.1.b Veículos'!E$53,"")</f>
        <v>0</v>
      </c>
      <c r="H230" s="416">
        <f>_xlfn.IFERROR(H159*'2.1.b Veículos'!F$53,"")</f>
        <v>0</v>
      </c>
      <c r="I230" s="416">
        <f>_xlfn.IFERROR(I159*'2.1.b Veículos'!G$53,"")</f>
        <v>0</v>
      </c>
      <c r="J230" s="417"/>
    </row>
    <row r="231" spans="1:10" ht="15" hidden="1">
      <c r="A231" s="418"/>
      <c r="B231" s="418"/>
      <c r="C231" s="418"/>
      <c r="D231" s="418"/>
      <c r="E231" s="385">
        <v>12</v>
      </c>
      <c r="F231" s="416">
        <f>_xlfn.IFERROR(F160*'2.1.b Veículos'!D$53,"")</f>
        <v>0</v>
      </c>
      <c r="G231" s="416">
        <f>_xlfn.IFERROR(G160*'2.1.b Veículos'!E$53,"")</f>
        <v>0</v>
      </c>
      <c r="H231" s="416">
        <f>_xlfn.IFERROR(H160*'2.1.b Veículos'!F$53,"")</f>
        <v>0</v>
      </c>
      <c r="I231" s="416">
        <f>_xlfn.IFERROR(I160*'2.1.b Veículos'!G$53,"")</f>
        <v>0</v>
      </c>
      <c r="J231" s="417"/>
    </row>
    <row r="232" spans="1:10" ht="15" hidden="1">
      <c r="A232" s="418" t="s">
        <v>144</v>
      </c>
      <c r="B232" s="418"/>
      <c r="C232" s="418"/>
      <c r="D232" s="418"/>
      <c r="E232" s="385">
        <v>0</v>
      </c>
      <c r="F232" s="416">
        <f>_xlfn.IFERROR(F161*'2.1.b Veículos'!D$54,"")</f>
        <v>0</v>
      </c>
      <c r="G232" s="416">
        <f>_xlfn.IFERROR(G161*'2.1.b Veículos'!E$54,"")</f>
        <v>0</v>
      </c>
      <c r="H232" s="416">
        <f>_xlfn.IFERROR(H161*'2.1.b Veículos'!F$54,"")</f>
        <v>0</v>
      </c>
      <c r="I232" s="416">
        <f>_xlfn.IFERROR(I161*'2.1.b Veículos'!G$54,"")</f>
        <v>0</v>
      </c>
      <c r="J232" s="417"/>
    </row>
    <row r="233" spans="1:10" ht="15" hidden="1">
      <c r="A233" s="418"/>
      <c r="B233" s="418"/>
      <c r="C233" s="418"/>
      <c r="D233" s="418"/>
      <c r="E233" s="385">
        <v>1</v>
      </c>
      <c r="F233" s="416">
        <f>_xlfn.IFERROR(F162*'2.1.b Veículos'!D$54,"")</f>
        <v>0</v>
      </c>
      <c r="G233" s="416">
        <f>_xlfn.IFERROR(G162*'2.1.b Veículos'!E$54,"")</f>
        <v>0</v>
      </c>
      <c r="H233" s="416">
        <f>_xlfn.IFERROR(H162*'2.1.b Veículos'!F$54,"")</f>
        <v>0</v>
      </c>
      <c r="I233" s="416">
        <f>_xlfn.IFERROR(I162*'2.1.b Veículos'!G$54,"")</f>
        <v>0</v>
      </c>
      <c r="J233" s="417"/>
    </row>
    <row r="234" spans="1:10" ht="15" hidden="1">
      <c r="A234" s="418"/>
      <c r="B234" s="418"/>
      <c r="C234" s="418"/>
      <c r="D234" s="418"/>
      <c r="E234" s="385">
        <v>2</v>
      </c>
      <c r="F234" s="416">
        <f>_xlfn.IFERROR(F163*'2.1.b Veículos'!D$54,"")</f>
        <v>0</v>
      </c>
      <c r="G234" s="416">
        <f>_xlfn.IFERROR(G163*'2.1.b Veículos'!E$54,"")</f>
        <v>0</v>
      </c>
      <c r="H234" s="416">
        <f>_xlfn.IFERROR(H163*'2.1.b Veículos'!F$54,"")</f>
        <v>0</v>
      </c>
      <c r="I234" s="416">
        <f>_xlfn.IFERROR(I163*'2.1.b Veículos'!G$54,"")</f>
        <v>0</v>
      </c>
      <c r="J234" s="417"/>
    </row>
    <row r="235" spans="1:10" ht="15" hidden="1">
      <c r="A235" s="418"/>
      <c r="B235" s="418"/>
      <c r="C235" s="418"/>
      <c r="D235" s="418"/>
      <c r="E235" s="385">
        <v>3</v>
      </c>
      <c r="F235" s="416">
        <f>_xlfn.IFERROR(F164*'2.1.b Veículos'!D$54,"")</f>
        <v>0</v>
      </c>
      <c r="G235" s="416">
        <f>_xlfn.IFERROR(G164*'2.1.b Veículos'!E$54,"")</f>
        <v>0</v>
      </c>
      <c r="H235" s="416">
        <f>_xlfn.IFERROR(H164*'2.1.b Veículos'!F$54,"")</f>
        <v>0</v>
      </c>
      <c r="I235" s="416">
        <f>_xlfn.IFERROR(I164*'2.1.b Veículos'!G$54,"")</f>
        <v>0</v>
      </c>
      <c r="J235" s="417"/>
    </row>
    <row r="236" spans="1:10" ht="15" hidden="1">
      <c r="A236" s="418"/>
      <c r="B236" s="418"/>
      <c r="C236" s="418"/>
      <c r="D236" s="418"/>
      <c r="E236" s="385">
        <v>4</v>
      </c>
      <c r="F236" s="416">
        <f>_xlfn.IFERROR(F165*'2.1.b Veículos'!D$54,"")</f>
        <v>0</v>
      </c>
      <c r="G236" s="416">
        <f>_xlfn.IFERROR(G165*'2.1.b Veículos'!E$54,"")</f>
        <v>0</v>
      </c>
      <c r="H236" s="416">
        <f>_xlfn.IFERROR(H165*'2.1.b Veículos'!F$54,"")</f>
        <v>0</v>
      </c>
      <c r="I236" s="416">
        <f>_xlfn.IFERROR(I165*'2.1.b Veículos'!G$54,"")</f>
        <v>0</v>
      </c>
      <c r="J236" s="417"/>
    </row>
    <row r="237" spans="1:10" ht="15" hidden="1">
      <c r="A237" s="418"/>
      <c r="B237" s="418"/>
      <c r="C237" s="418"/>
      <c r="D237" s="418"/>
      <c r="E237" s="385">
        <v>5</v>
      </c>
      <c r="F237" s="416">
        <f>_xlfn.IFERROR(F166*'2.1.b Veículos'!D$54,"")</f>
        <v>0</v>
      </c>
      <c r="G237" s="416">
        <f>_xlfn.IFERROR(G166*'2.1.b Veículos'!E$54,"")</f>
        <v>0</v>
      </c>
      <c r="H237" s="416">
        <f>_xlfn.IFERROR(H166*'2.1.b Veículos'!F$54,"")</f>
        <v>0</v>
      </c>
      <c r="I237" s="416">
        <f>_xlfn.IFERROR(I166*'2.1.b Veículos'!G$54,"")</f>
        <v>0</v>
      </c>
      <c r="J237" s="417"/>
    </row>
    <row r="238" spans="1:10" ht="15" hidden="1">
      <c r="A238" s="418"/>
      <c r="B238" s="418"/>
      <c r="C238" s="418"/>
      <c r="D238" s="418"/>
      <c r="E238" s="385">
        <v>6</v>
      </c>
      <c r="F238" s="416">
        <f>_xlfn.IFERROR(F167*'2.1.b Veículos'!D$54,"")</f>
        <v>0</v>
      </c>
      <c r="G238" s="416">
        <f>_xlfn.IFERROR(G167*'2.1.b Veículos'!E$54,"")</f>
        <v>0</v>
      </c>
      <c r="H238" s="416">
        <f>_xlfn.IFERROR(H167*'2.1.b Veículos'!F$54,"")</f>
        <v>0</v>
      </c>
      <c r="I238" s="416">
        <f>_xlfn.IFERROR(I167*'2.1.b Veículos'!G$54,"")</f>
        <v>0</v>
      </c>
      <c r="J238" s="417"/>
    </row>
    <row r="239" spans="1:10" ht="15" hidden="1">
      <c r="A239" s="418"/>
      <c r="B239" s="418"/>
      <c r="C239" s="418"/>
      <c r="D239" s="418"/>
      <c r="E239" s="385">
        <v>7</v>
      </c>
      <c r="F239" s="416">
        <f>_xlfn.IFERROR(F168*'2.1.b Veículos'!D$54,"")</f>
        <v>0</v>
      </c>
      <c r="G239" s="416">
        <f>_xlfn.IFERROR(G168*'2.1.b Veículos'!E$54,"")</f>
        <v>0</v>
      </c>
      <c r="H239" s="416">
        <f>_xlfn.IFERROR(H168*'2.1.b Veículos'!F$54,"")</f>
        <v>0</v>
      </c>
      <c r="I239" s="416">
        <f>_xlfn.IFERROR(I168*'2.1.b Veículos'!G$54,"")</f>
        <v>0</v>
      </c>
      <c r="J239" s="417"/>
    </row>
    <row r="240" spans="1:10" ht="15" hidden="1">
      <c r="A240" s="418"/>
      <c r="B240" s="418"/>
      <c r="C240" s="418"/>
      <c r="D240" s="418"/>
      <c r="E240" s="385">
        <v>8</v>
      </c>
      <c r="F240" s="416">
        <f>_xlfn.IFERROR(F169*'2.1.b Veículos'!D$54,"")</f>
        <v>0</v>
      </c>
      <c r="G240" s="416">
        <f>_xlfn.IFERROR(G169*'2.1.b Veículos'!E$54,"")</f>
        <v>0</v>
      </c>
      <c r="H240" s="416">
        <f>_xlfn.IFERROR(H169*'2.1.b Veículos'!F$54,"")</f>
        <v>0</v>
      </c>
      <c r="I240" s="416">
        <f>_xlfn.IFERROR(I169*'2.1.b Veículos'!G$54,"")</f>
        <v>0</v>
      </c>
      <c r="J240" s="417"/>
    </row>
    <row r="241" spans="1:10" ht="15" hidden="1">
      <c r="A241" s="418"/>
      <c r="B241" s="418"/>
      <c r="C241" s="418"/>
      <c r="D241" s="418"/>
      <c r="E241" s="385">
        <v>9</v>
      </c>
      <c r="F241" s="416">
        <f>_xlfn.IFERROR(F170*'2.1.b Veículos'!D$54,"")</f>
        <v>0</v>
      </c>
      <c r="G241" s="416">
        <f>_xlfn.IFERROR(G170*'2.1.b Veículos'!E$54,"")</f>
        <v>0</v>
      </c>
      <c r="H241" s="416">
        <f>_xlfn.IFERROR(H170*'2.1.b Veículos'!F$54,"")</f>
        <v>0</v>
      </c>
      <c r="I241" s="416">
        <f>_xlfn.IFERROR(I170*'2.1.b Veículos'!G$54,"")</f>
        <v>0</v>
      </c>
      <c r="J241" s="417"/>
    </row>
    <row r="242" spans="1:10" ht="15" hidden="1">
      <c r="A242" s="418"/>
      <c r="B242" s="418"/>
      <c r="C242" s="418"/>
      <c r="D242" s="418"/>
      <c r="E242" s="385">
        <v>10</v>
      </c>
      <c r="F242" s="416">
        <f>_xlfn.IFERROR(F171*'2.1.b Veículos'!D$54,"")</f>
        <v>0</v>
      </c>
      <c r="G242" s="416">
        <f>_xlfn.IFERROR(G171*'2.1.b Veículos'!E$54,"")</f>
        <v>0</v>
      </c>
      <c r="H242" s="416">
        <f>_xlfn.IFERROR(H171*'2.1.b Veículos'!F$54,"")</f>
        <v>0</v>
      </c>
      <c r="I242" s="416">
        <f>_xlfn.IFERROR(I171*'2.1.b Veículos'!G$54,"")</f>
        <v>0</v>
      </c>
      <c r="J242" s="417"/>
    </row>
    <row r="243" spans="1:10" ht="15" hidden="1">
      <c r="A243" s="418"/>
      <c r="B243" s="418"/>
      <c r="C243" s="418"/>
      <c r="D243" s="418"/>
      <c r="E243" s="385">
        <v>11</v>
      </c>
      <c r="F243" s="416">
        <f>_xlfn.IFERROR(F172*'2.1.b Veículos'!D$54,"")</f>
        <v>0</v>
      </c>
      <c r="G243" s="416">
        <f>_xlfn.IFERROR(G172*'2.1.b Veículos'!E$54,"")</f>
        <v>0</v>
      </c>
      <c r="H243" s="416">
        <f>_xlfn.IFERROR(H172*'2.1.b Veículos'!F$54,"")</f>
        <v>0</v>
      </c>
      <c r="I243" s="416">
        <f>_xlfn.IFERROR(I172*'2.1.b Veículos'!G$54,"")</f>
        <v>0</v>
      </c>
      <c r="J243" s="417"/>
    </row>
    <row r="244" spans="1:10" ht="15" hidden="1">
      <c r="A244" s="418"/>
      <c r="B244" s="418"/>
      <c r="C244" s="418"/>
      <c r="D244" s="418"/>
      <c r="E244" s="385">
        <v>12</v>
      </c>
      <c r="F244" s="416">
        <f>_xlfn.IFERROR(F173*'2.1.b Veículos'!D$54,"")</f>
        <v>0</v>
      </c>
      <c r="G244" s="416">
        <f>_xlfn.IFERROR(G173*'2.1.b Veículos'!E$54,"")</f>
        <v>0</v>
      </c>
      <c r="H244" s="416">
        <f>_xlfn.IFERROR(H173*'2.1.b Veículos'!F$54,"")</f>
        <v>0</v>
      </c>
      <c r="I244" s="416">
        <f>_xlfn.IFERROR(I173*'2.1.b Veículos'!G$54,"")</f>
        <v>0</v>
      </c>
      <c r="J244" s="417"/>
    </row>
    <row r="245" spans="1:10" ht="15">
      <c r="A245" s="417"/>
      <c r="B245" s="417"/>
      <c r="C245" s="417"/>
      <c r="D245" s="417"/>
      <c r="E245" s="417"/>
      <c r="F245" s="417"/>
      <c r="G245" s="417"/>
      <c r="H245" s="417"/>
      <c r="I245" s="417"/>
      <c r="J245" s="417"/>
    </row>
    <row r="246" spans="1:10" ht="15">
      <c r="A246" s="417"/>
      <c r="B246" s="417"/>
      <c r="C246" s="417"/>
      <c r="D246" s="417"/>
      <c r="E246" s="417"/>
      <c r="F246" s="417"/>
      <c r="G246" s="417"/>
      <c r="H246" s="417"/>
      <c r="I246" s="417"/>
      <c r="J246" s="417"/>
    </row>
    <row r="247" spans="1:10" ht="15.75">
      <c r="A247" s="419" t="s">
        <v>652</v>
      </c>
      <c r="B247" s="419" t="s">
        <v>653</v>
      </c>
      <c r="C247" s="115"/>
      <c r="D247" s="115"/>
      <c r="E247" s="115"/>
      <c r="F247" s="115"/>
      <c r="G247" s="115"/>
      <c r="H247" s="115"/>
      <c r="I247" s="115"/>
      <c r="J247" s="115"/>
    </row>
    <row r="248" spans="1:7" ht="21.75">
      <c r="A248" s="420" t="s">
        <v>654</v>
      </c>
      <c r="B248" s="420"/>
      <c r="C248" s="420"/>
      <c r="D248" s="420"/>
      <c r="E248" s="420"/>
      <c r="F248" s="420"/>
      <c r="G248" s="421">
        <f>SUM(F178:I242)</f>
        <v>19632.050000000003</v>
      </c>
    </row>
  </sheetData>
  <sheetProtection selectLockedCells="1" selectUnlockedCells="1"/>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pageMargins left="0.7875" right="0.7875" top="0.9840277777777778" bottom="0.9840277777777778" header="0.5118110236220472" footer="0.5118110236220472"/>
  <pageSetup horizontalDpi="300" verticalDpi="300" orientation="landscape" paperSize="9"/>
</worksheet>
</file>

<file path=xl/worksheets/sheet33.xml><?xml version="1.0" encoding="utf-8"?>
<worksheet xmlns="http://schemas.openxmlformats.org/spreadsheetml/2006/main" xmlns:r="http://schemas.openxmlformats.org/officeDocument/2006/relationships">
  <sheetPr>
    <tabColor indexed="22"/>
  </sheetPr>
  <dimension ref="A1:R35"/>
  <sheetViews>
    <sheetView workbookViewId="0" topLeftCell="A19">
      <selection activeCell="G26" sqref="G26"/>
    </sheetView>
  </sheetViews>
  <sheetFormatPr defaultColWidth="9.140625" defaultRowHeight="12.75"/>
  <cols>
    <col min="1" max="1" width="7.00390625" style="12" customWidth="1"/>
    <col min="2" max="2" width="2.7109375" style="12" customWidth="1"/>
    <col min="3" max="3" width="3.57421875" style="12" customWidth="1"/>
    <col min="4" max="4" width="14.57421875" style="12" customWidth="1"/>
    <col min="5" max="5" width="16.28125" style="12" customWidth="1"/>
    <col min="6" max="6" width="18.8515625" style="12" customWidth="1"/>
    <col min="7" max="7" width="4.140625" style="12" customWidth="1"/>
    <col min="8" max="8" width="6.57421875" style="12" customWidth="1"/>
    <col min="9" max="9" width="10.57421875" style="12" customWidth="1"/>
    <col min="10" max="10" width="15.7109375" style="12" customWidth="1"/>
    <col min="11" max="11" width="38.7109375" style="12" customWidth="1"/>
    <col min="12" max="12" width="1.421875" style="12" customWidth="1"/>
    <col min="13" max="17" width="11.421875" style="12" customWidth="1"/>
    <col min="18" max="18" width="13.8515625" style="12" customWidth="1"/>
    <col min="19" max="16384" width="11.421875" style="12" customWidth="1"/>
  </cols>
  <sheetData>
    <row r="1" ht="15">
      <c r="A1" s="114" t="s">
        <v>634</v>
      </c>
    </row>
    <row r="2" ht="15.75"/>
    <row r="3" spans="1:16" ht="15.75">
      <c r="A3" s="48" t="s">
        <v>655</v>
      </c>
      <c r="M3" s="15" t="s">
        <v>16</v>
      </c>
      <c r="N3" s="15"/>
      <c r="O3" s="15"/>
      <c r="P3" s="15"/>
    </row>
    <row r="4" spans="1:16" ht="15">
      <c r="A4" s="48"/>
      <c r="M4" s="17"/>
      <c r="N4" s="18"/>
      <c r="O4" s="18"/>
      <c r="P4" s="19"/>
    </row>
    <row r="5" spans="1:16" ht="15">
      <c r="A5" s="103" t="s">
        <v>656</v>
      </c>
      <c r="B5" s="48" t="s">
        <v>657</v>
      </c>
      <c r="M5" s="20"/>
      <c r="N5" s="21"/>
      <c r="O5" s="22" t="s">
        <v>18</v>
      </c>
      <c r="P5" s="23"/>
    </row>
    <row r="6" spans="1:16" ht="15">
      <c r="A6" s="103"/>
      <c r="B6" s="48"/>
      <c r="M6" s="20"/>
      <c r="N6" s="27"/>
      <c r="O6" s="22" t="s">
        <v>20</v>
      </c>
      <c r="P6" s="23"/>
    </row>
    <row r="7" spans="1:16" s="115" customFormat="1" ht="15.75" customHeight="1">
      <c r="A7" s="103"/>
      <c r="B7" s="48"/>
      <c r="C7" s="12"/>
      <c r="D7" s="12"/>
      <c r="E7" s="357" t="s">
        <v>638</v>
      </c>
      <c r="F7" s="357" t="s">
        <v>639</v>
      </c>
      <c r="G7" s="12"/>
      <c r="M7" s="20"/>
      <c r="N7" s="28"/>
      <c r="O7" s="22" t="s">
        <v>22</v>
      </c>
      <c r="P7" s="23"/>
    </row>
    <row r="8" spans="1:16" s="115" customFormat="1" ht="15.75" customHeight="1">
      <c r="A8" s="357" t="s">
        <v>658</v>
      </c>
      <c r="B8" s="357"/>
      <c r="C8" s="357"/>
      <c r="D8" s="357"/>
      <c r="E8" s="329">
        <v>25</v>
      </c>
      <c r="F8" s="329">
        <v>10</v>
      </c>
      <c r="G8" s="12"/>
      <c r="M8" s="29"/>
      <c r="N8" s="30"/>
      <c r="O8" s="30"/>
      <c r="P8" s="31"/>
    </row>
    <row r="9" spans="1:6" ht="15.75" customHeight="1">
      <c r="A9" s="422" t="s">
        <v>659</v>
      </c>
      <c r="B9" s="422"/>
      <c r="C9" s="422"/>
      <c r="D9" s="422"/>
      <c r="E9" s="329">
        <v>10</v>
      </c>
      <c r="F9" s="329">
        <v>0</v>
      </c>
    </row>
    <row r="10" spans="1:4" ht="15" customHeight="1">
      <c r="A10" s="48"/>
      <c r="B10" s="48"/>
      <c r="C10" s="48"/>
      <c r="D10" s="48"/>
    </row>
    <row r="11" spans="1:2" ht="15">
      <c r="A11" s="103" t="s">
        <v>660</v>
      </c>
      <c r="B11" s="48" t="s">
        <v>661</v>
      </c>
    </row>
    <row r="12" spans="1:2" ht="15">
      <c r="A12" s="103"/>
      <c r="B12" s="48"/>
    </row>
    <row r="13" spans="2:18" ht="15.75">
      <c r="B13" s="52" t="s">
        <v>662</v>
      </c>
      <c r="C13" s="52"/>
      <c r="D13" s="423">
        <f>IF('2.1.c Insumos'!F72="","Preencher CIE em Dados de Insumo",'2.1.c Insumos'!F72*(IF('2.1.c Insumos'!F74="",(1-'A.IX.b. Deprec. garagem equip. '!F8/100),(1-'2.1.c Insumos'!F74/100)))/(('2.1.b Veículos'!D58*SUM('1.3 Frota Total'!C19:F25))))</f>
        <v>0.021664904587760197</v>
      </c>
      <c r="E13" s="424"/>
      <c r="G13" s="357" t="s">
        <v>662</v>
      </c>
      <c r="H13" s="425">
        <f>8.16/100</f>
        <v>0.0816</v>
      </c>
      <c r="I13" s="11"/>
      <c r="J13" s="115"/>
      <c r="R13" s="426"/>
    </row>
    <row r="15" spans="1:2" ht="15">
      <c r="A15" s="103" t="s">
        <v>663</v>
      </c>
      <c r="B15" s="48" t="s">
        <v>664</v>
      </c>
    </row>
    <row r="16" spans="1:2" ht="15">
      <c r="A16" s="103"/>
      <c r="B16" s="48"/>
    </row>
    <row r="17" spans="2:9" ht="15.75">
      <c r="B17" s="52" t="s">
        <v>665</v>
      </c>
      <c r="C17" s="52"/>
      <c r="D17" s="423">
        <f>IF('2.1.c Insumos'!F75="","Preencher CIG em Dados de Insumo",'2.1.c Insumos'!F75*(IF('2.1.c Insumos'!F77="",(1-'A.IX.b. Deprec. garagem equip. '!F9/100),(1-'2.1.c Insumos'!F77/100)))/(('2.1.b Veículos'!D58*SUM('1.3 Frota Total'!C19:F25))))</f>
        <v>0.016248678440820147</v>
      </c>
      <c r="E17" s="424"/>
      <c r="G17" s="357" t="s">
        <v>665</v>
      </c>
      <c r="H17" s="425">
        <f>2.74/100</f>
        <v>0.0274</v>
      </c>
      <c r="I17" s="11"/>
    </row>
    <row r="19" spans="1:2" ht="15">
      <c r="A19" s="48" t="s">
        <v>666</v>
      </c>
      <c r="B19" s="48" t="s">
        <v>667</v>
      </c>
    </row>
    <row r="20" spans="1:2" ht="15">
      <c r="A20" s="48"/>
      <c r="B20" s="48"/>
    </row>
    <row r="21" spans="1:6" ht="15.75" customHeight="1">
      <c r="A21" s="357" t="s">
        <v>668</v>
      </c>
      <c r="B21" s="357"/>
      <c r="C21" s="357"/>
      <c r="D21" s="357"/>
      <c r="E21" s="357" t="s">
        <v>638</v>
      </c>
      <c r="F21" s="357" t="s">
        <v>639</v>
      </c>
    </row>
    <row r="22" spans="1:8" ht="16.5" customHeight="1">
      <c r="A22" s="357"/>
      <c r="B22" s="357"/>
      <c r="C22" s="357"/>
      <c r="D22" s="357"/>
      <c r="E22" s="329">
        <v>5</v>
      </c>
      <c r="F22" s="329">
        <v>0</v>
      </c>
      <c r="H22" s="427"/>
    </row>
    <row r="23" spans="1:8" ht="16.5" customHeight="1">
      <c r="A23" s="57"/>
      <c r="B23" s="57"/>
      <c r="C23" s="57"/>
      <c r="D23" s="57"/>
      <c r="E23" s="57"/>
      <c r="F23" s="57"/>
      <c r="H23" s="427"/>
    </row>
    <row r="24" spans="1:6" s="57" customFormat="1" ht="16.5" customHeight="1">
      <c r="A24" s="48" t="s">
        <v>669</v>
      </c>
      <c r="B24" s="48" t="s">
        <v>670</v>
      </c>
      <c r="C24" s="12"/>
      <c r="D24" s="12"/>
      <c r="E24" s="12"/>
      <c r="F24" s="12"/>
    </row>
    <row r="25" spans="1:6" s="57" customFormat="1" ht="16.5" customHeight="1">
      <c r="A25" s="48"/>
      <c r="B25" s="48"/>
      <c r="C25" s="12"/>
      <c r="D25" s="12"/>
      <c r="E25" s="12"/>
      <c r="F25" s="12"/>
    </row>
    <row r="26" spans="2:18" ht="15.75">
      <c r="B26" s="52" t="s">
        <v>671</v>
      </c>
      <c r="C26" s="52"/>
      <c r="D26" s="423">
        <f>IF('2.1.c Insumos'!F78="","Preencher CEB em Dados de Insumo",'2.1.c Insumos'!F78*(IF('2.1.c Insumos'!F80="",(1-'A.IX.b. Deprec. garagem equip. '!F22/100),(1-'2.1.c Insumos'!F80/100)))/(('2.1.b Veículos'!D58*SUM('1.3 Frota Total'!C19:F25))))</f>
        <v>0.0032497356881640294</v>
      </c>
      <c r="G26" s="357" t="s">
        <v>671</v>
      </c>
      <c r="H26" s="425">
        <v>0.04</v>
      </c>
      <c r="I26" s="11"/>
      <c r="R26" s="426"/>
    </row>
    <row r="28" spans="1:18" ht="15">
      <c r="A28" s="48" t="s">
        <v>672</v>
      </c>
      <c r="B28" s="48" t="s">
        <v>673</v>
      </c>
      <c r="R28" s="426"/>
    </row>
    <row r="29" spans="1:2" ht="15">
      <c r="A29" s="48"/>
      <c r="B29" s="48"/>
    </row>
    <row r="30" spans="1:6" ht="15.75" customHeight="1">
      <c r="A30" s="428" t="s">
        <v>674</v>
      </c>
      <c r="B30" s="428"/>
      <c r="C30" s="428"/>
      <c r="D30" s="428"/>
      <c r="E30" s="357" t="s">
        <v>638</v>
      </c>
      <c r="F30" s="357" t="s">
        <v>675</v>
      </c>
    </row>
    <row r="31" spans="1:6" ht="15">
      <c r="A31" s="429" t="s">
        <v>164</v>
      </c>
      <c r="B31" s="429"/>
      <c r="C31" s="429"/>
      <c r="D31" s="429"/>
      <c r="E31" s="430">
        <v>15</v>
      </c>
      <c r="F31" s="431">
        <v>0.1</v>
      </c>
    </row>
    <row r="32" spans="1:6" ht="15">
      <c r="A32" s="429" t="s">
        <v>165</v>
      </c>
      <c r="B32" s="429"/>
      <c r="C32" s="429"/>
      <c r="D32" s="429"/>
      <c r="E32" s="430">
        <v>15</v>
      </c>
      <c r="F32" s="431">
        <v>0.1</v>
      </c>
    </row>
    <row r="33" spans="1:6" ht="15">
      <c r="A33" s="429" t="s">
        <v>166</v>
      </c>
      <c r="B33" s="429"/>
      <c r="C33" s="429"/>
      <c r="D33" s="429"/>
      <c r="E33" s="430">
        <v>8</v>
      </c>
      <c r="F33" s="431">
        <v>0.15</v>
      </c>
    </row>
    <row r="34" spans="1:6" ht="15">
      <c r="A34" s="429" t="s">
        <v>167</v>
      </c>
      <c r="B34" s="429"/>
      <c r="C34" s="429"/>
      <c r="D34" s="429"/>
      <c r="E34" s="430">
        <v>5</v>
      </c>
      <c r="F34" s="431">
        <v>0.2</v>
      </c>
    </row>
    <row r="35" spans="1:6" ht="15">
      <c r="A35" s="429" t="s">
        <v>168</v>
      </c>
      <c r="B35" s="429"/>
      <c r="C35" s="429"/>
      <c r="D35" s="429"/>
      <c r="E35" s="430">
        <v>5</v>
      </c>
      <c r="F35" s="431">
        <v>0.2</v>
      </c>
    </row>
  </sheetData>
  <sheetProtection selectLockedCells="1" selectUnlockedCells="1"/>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pageMargins left="0.7875" right="0.7875" top="0.9840277777777778" bottom="0.9840277777777778"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sheetPr>
    <tabColor indexed="22"/>
  </sheetPr>
  <dimension ref="A1:O231"/>
  <sheetViews>
    <sheetView workbookViewId="0" topLeftCell="A12">
      <selection activeCell="H11" sqref="H11"/>
    </sheetView>
  </sheetViews>
  <sheetFormatPr defaultColWidth="9.140625" defaultRowHeight="12.75"/>
  <cols>
    <col min="1" max="1" width="5.57421875" style="12" customWidth="1"/>
    <col min="2" max="2" width="2.7109375" style="12" customWidth="1"/>
    <col min="3" max="3" width="3.57421875" style="12" customWidth="1"/>
    <col min="4" max="4" width="21.00390625" style="12" customWidth="1"/>
    <col min="5" max="5" width="15.7109375" style="12" customWidth="1"/>
    <col min="6" max="6" width="26.7109375" style="12" customWidth="1"/>
    <col min="7" max="7" width="26.8515625" style="12" customWidth="1"/>
    <col min="8" max="8" width="26.7109375" style="12" customWidth="1"/>
    <col min="9" max="9" width="26.8515625" style="12" customWidth="1"/>
    <col min="10" max="10" width="8.28125" style="432" customWidth="1"/>
    <col min="11" max="11" width="11.421875" style="12" customWidth="1"/>
    <col min="12" max="12" width="2.00390625" style="12" customWidth="1"/>
    <col min="13" max="13" width="11.421875" style="12" customWidth="1"/>
    <col min="14" max="14" width="42.57421875" style="12" customWidth="1"/>
    <col min="15" max="15" width="1.8515625" style="12" customWidth="1"/>
    <col min="16" max="16384" width="11.421875" style="12" customWidth="1"/>
  </cols>
  <sheetData>
    <row r="1" ht="15">
      <c r="A1" s="90" t="s">
        <v>676</v>
      </c>
    </row>
    <row r="3" spans="1:3" ht="15">
      <c r="A3" s="103" t="s">
        <v>677</v>
      </c>
      <c r="B3" s="48" t="s">
        <v>678</v>
      </c>
      <c r="C3" s="48"/>
    </row>
    <row r="5" spans="1:2" ht="15.75">
      <c r="A5" s="103" t="s">
        <v>679</v>
      </c>
      <c r="B5" s="48" t="s">
        <v>637</v>
      </c>
    </row>
    <row r="6" spans="1:15" ht="15.75">
      <c r="A6" s="359" t="s">
        <v>150</v>
      </c>
      <c r="B6" s="359"/>
      <c r="C6" s="359"/>
      <c r="D6" s="359"/>
      <c r="E6" s="333" t="s">
        <v>638</v>
      </c>
      <c r="F6" s="359" t="s">
        <v>639</v>
      </c>
      <c r="L6" s="15" t="s">
        <v>16</v>
      </c>
      <c r="M6" s="15"/>
      <c r="N6" s="15"/>
      <c r="O6" s="15"/>
    </row>
    <row r="7" spans="1:15" ht="15">
      <c r="A7" s="359"/>
      <c r="B7" s="359"/>
      <c r="C7" s="359"/>
      <c r="D7" s="359"/>
      <c r="E7" s="333"/>
      <c r="F7" s="359"/>
      <c r="L7" s="17"/>
      <c r="M7" s="18"/>
      <c r="N7" s="18"/>
      <c r="O7" s="19"/>
    </row>
    <row r="8" spans="1:15" ht="15" customHeight="1">
      <c r="A8" s="360" t="s">
        <v>122</v>
      </c>
      <c r="B8" s="360"/>
      <c r="C8" s="360"/>
      <c r="D8" s="360"/>
      <c r="E8" s="361">
        <v>5</v>
      </c>
      <c r="F8" s="363">
        <v>0.15</v>
      </c>
      <c r="G8" s="49"/>
      <c r="L8" s="20"/>
      <c r="M8" s="21"/>
      <c r="N8" s="22" t="s">
        <v>18</v>
      </c>
      <c r="O8" s="23"/>
    </row>
    <row r="9" spans="1:15" ht="15">
      <c r="A9" s="360" t="s">
        <v>126</v>
      </c>
      <c r="B9" s="360"/>
      <c r="C9" s="360"/>
      <c r="D9" s="360"/>
      <c r="E9" s="361">
        <v>5</v>
      </c>
      <c r="F9" s="363">
        <v>0.15</v>
      </c>
      <c r="G9" s="49"/>
      <c r="L9" s="20"/>
      <c r="M9" s="27"/>
      <c r="N9" s="22" t="s">
        <v>20</v>
      </c>
      <c r="O9" s="23"/>
    </row>
    <row r="10" spans="1:15" ht="15" customHeight="1">
      <c r="A10" s="360" t="s">
        <v>130</v>
      </c>
      <c r="B10" s="360"/>
      <c r="C10" s="360"/>
      <c r="D10" s="360"/>
      <c r="E10" s="361">
        <v>8</v>
      </c>
      <c r="F10" s="363">
        <v>0.1</v>
      </c>
      <c r="G10" s="49"/>
      <c r="L10" s="20"/>
      <c r="M10" s="28"/>
      <c r="N10" s="22" t="s">
        <v>22</v>
      </c>
      <c r="O10" s="23"/>
    </row>
    <row r="11" spans="1:15" ht="15.75">
      <c r="A11" s="360" t="s">
        <v>134</v>
      </c>
      <c r="B11" s="360"/>
      <c r="C11" s="360"/>
      <c r="D11" s="360"/>
      <c r="E11" s="361">
        <v>8</v>
      </c>
      <c r="F11" s="363">
        <v>0.1</v>
      </c>
      <c r="G11" s="49"/>
      <c r="L11" s="29"/>
      <c r="M11" s="30"/>
      <c r="N11" s="30"/>
      <c r="O11" s="31"/>
    </row>
    <row r="12" spans="1:7" ht="15" customHeight="1">
      <c r="A12" s="360" t="s">
        <v>138</v>
      </c>
      <c r="B12" s="360"/>
      <c r="C12" s="360"/>
      <c r="D12" s="360"/>
      <c r="E12" s="361">
        <v>10</v>
      </c>
      <c r="F12" s="363">
        <v>0.1</v>
      </c>
      <c r="G12" s="49"/>
    </row>
    <row r="13" spans="1:7" ht="15">
      <c r="A13" s="360" t="s">
        <v>140</v>
      </c>
      <c r="B13" s="360"/>
      <c r="C13" s="360"/>
      <c r="D13" s="360"/>
      <c r="E13" s="361">
        <v>12</v>
      </c>
      <c r="F13" s="363">
        <v>0.05</v>
      </c>
      <c r="G13" s="49"/>
    </row>
    <row r="14" spans="1:7" ht="15">
      <c r="A14" s="360" t="s">
        <v>144</v>
      </c>
      <c r="B14" s="360"/>
      <c r="C14" s="360"/>
      <c r="D14" s="360"/>
      <c r="E14" s="361">
        <v>12</v>
      </c>
      <c r="F14" s="363">
        <v>0.05</v>
      </c>
      <c r="G14" s="49"/>
    </row>
    <row r="15" spans="1:10" s="115" customFormat="1" ht="15">
      <c r="A15" s="364"/>
      <c r="B15" s="364"/>
      <c r="C15" s="364"/>
      <c r="D15" s="364"/>
      <c r="E15" s="365"/>
      <c r="F15" s="366"/>
      <c r="G15" s="367"/>
      <c r="J15" s="432"/>
    </row>
    <row r="16" spans="1:2" ht="15.75">
      <c r="A16" s="103" t="s">
        <v>680</v>
      </c>
      <c r="B16" s="48" t="s">
        <v>648</v>
      </c>
    </row>
    <row r="17" spans="1:10" ht="15" customHeight="1">
      <c r="A17" s="379" t="s">
        <v>150</v>
      </c>
      <c r="B17" s="379"/>
      <c r="C17" s="379"/>
      <c r="D17" s="379"/>
      <c r="E17" s="379" t="s">
        <v>158</v>
      </c>
      <c r="F17" s="433" t="s">
        <v>151</v>
      </c>
      <c r="G17" s="433"/>
      <c r="H17" s="433" t="s">
        <v>152</v>
      </c>
      <c r="I17" s="433"/>
      <c r="J17" s="434" t="s">
        <v>681</v>
      </c>
    </row>
    <row r="18" spans="1:10" ht="15.75">
      <c r="A18" s="379"/>
      <c r="B18" s="379"/>
      <c r="C18" s="379"/>
      <c r="D18" s="379"/>
      <c r="E18" s="379"/>
      <c r="F18" s="379" t="s">
        <v>153</v>
      </c>
      <c r="G18" s="379" t="s">
        <v>154</v>
      </c>
      <c r="H18" s="379" t="s">
        <v>153</v>
      </c>
      <c r="I18" s="379" t="s">
        <v>154</v>
      </c>
      <c r="J18" s="434"/>
    </row>
    <row r="19" spans="1:10" ht="15" hidden="1">
      <c r="A19" s="381" t="s">
        <v>159</v>
      </c>
      <c r="B19" s="381"/>
      <c r="C19" s="381"/>
      <c r="D19" s="381"/>
      <c r="E19" s="382">
        <v>0</v>
      </c>
      <c r="F19" s="383">
        <f>'1.3 Frota Total'!E31</f>
        <v>0</v>
      </c>
      <c r="G19" s="383">
        <f>'1.3 Frota Total'!F31</f>
        <v>0</v>
      </c>
      <c r="H19" s="383">
        <f>'1.3 Frota Total'!G31</f>
        <v>0</v>
      </c>
      <c r="I19" s="435">
        <f>'1.3 Frota Total'!H31</f>
        <v>0</v>
      </c>
      <c r="J19" s="436">
        <v>1</v>
      </c>
    </row>
    <row r="20" spans="1:13" ht="15" hidden="1">
      <c r="A20" s="381"/>
      <c r="B20" s="381"/>
      <c r="C20" s="381"/>
      <c r="D20" s="381"/>
      <c r="E20" s="385">
        <v>1</v>
      </c>
      <c r="F20" s="386">
        <f>'1.3 Frota Total'!E32</f>
        <v>0</v>
      </c>
      <c r="G20" s="386">
        <f>'1.3 Frota Total'!F32</f>
        <v>0</v>
      </c>
      <c r="H20" s="386">
        <f>'1.3 Frota Total'!G32</f>
        <v>0</v>
      </c>
      <c r="I20" s="437">
        <f>'1.3 Frota Total'!H32</f>
        <v>0</v>
      </c>
      <c r="J20" s="438">
        <f>1-'A.IX.a. Deprec. veículos'!D19*12</f>
        <v>1</v>
      </c>
      <c r="M20" s="439"/>
    </row>
    <row r="21" spans="1:13" ht="15" hidden="1">
      <c r="A21" s="381"/>
      <c r="B21" s="381"/>
      <c r="C21" s="381"/>
      <c r="D21" s="381"/>
      <c r="E21" s="385">
        <v>2</v>
      </c>
      <c r="F21" s="386">
        <f>'1.3 Frota Total'!E33</f>
        <v>0</v>
      </c>
      <c r="G21" s="386">
        <f>'1.3 Frota Total'!F33</f>
        <v>0</v>
      </c>
      <c r="H21" s="386">
        <f>'1.3 Frota Total'!G33</f>
        <v>0</v>
      </c>
      <c r="I21" s="437">
        <f>'1.3 Frota Total'!H33</f>
        <v>0</v>
      </c>
      <c r="J21" s="438">
        <f>1-SUM('A.IX.a. Deprec. veículos'!D19:D20)*12</f>
        <v>1</v>
      </c>
      <c r="M21" s="439"/>
    </row>
    <row r="22" spans="1:13" ht="15" hidden="1">
      <c r="A22" s="381"/>
      <c r="B22" s="381"/>
      <c r="C22" s="381"/>
      <c r="D22" s="381"/>
      <c r="E22" s="385">
        <v>3</v>
      </c>
      <c r="F22" s="386">
        <f>'1.3 Frota Total'!E34</f>
        <v>0</v>
      </c>
      <c r="G22" s="386">
        <f>'1.3 Frota Total'!F34</f>
        <v>0</v>
      </c>
      <c r="H22" s="386">
        <f>'1.3 Frota Total'!G34</f>
        <v>0</v>
      </c>
      <c r="I22" s="437">
        <f>'1.3 Frota Total'!H34</f>
        <v>0</v>
      </c>
      <c r="J22" s="438">
        <f>1-SUM('A.IX.a. Deprec. veículos'!D19:D21)*12</f>
        <v>1</v>
      </c>
      <c r="L22" s="95"/>
      <c r="M22" s="439"/>
    </row>
    <row r="23" spans="1:13" ht="15" hidden="1">
      <c r="A23" s="381"/>
      <c r="B23" s="381"/>
      <c r="C23" s="381"/>
      <c r="D23" s="381"/>
      <c r="E23" s="385">
        <v>4</v>
      </c>
      <c r="F23" s="386">
        <f>'1.3 Frota Total'!E35</f>
        <v>0</v>
      </c>
      <c r="G23" s="386">
        <f>'1.3 Frota Total'!F35</f>
        <v>0</v>
      </c>
      <c r="H23" s="386">
        <f>'1.3 Frota Total'!G35</f>
        <v>0</v>
      </c>
      <c r="I23" s="437">
        <f>'1.3 Frota Total'!H35</f>
        <v>0</v>
      </c>
      <c r="J23" s="438">
        <f>1-SUM('A.IX.a. Deprec. veículos'!D19:D22)*12</f>
        <v>1</v>
      </c>
      <c r="M23" s="439"/>
    </row>
    <row r="24" spans="1:10" ht="15.75" hidden="1">
      <c r="A24" s="381"/>
      <c r="B24" s="381"/>
      <c r="C24" s="381"/>
      <c r="D24" s="381"/>
      <c r="E24" s="388">
        <v>5</v>
      </c>
      <c r="F24" s="389">
        <f>'1.3 Frota Total'!E36</f>
        <v>0</v>
      </c>
      <c r="G24" s="389">
        <f>'1.3 Frota Total'!F36</f>
        <v>0</v>
      </c>
      <c r="H24" s="389">
        <f>'1.3 Frota Total'!G36</f>
        <v>0</v>
      </c>
      <c r="I24" s="440">
        <f>'1.3 Frota Total'!H36</f>
        <v>0</v>
      </c>
      <c r="J24" s="441">
        <f>1-SUM('A.IX.a. Deprec. veículos'!D19:D23)*12</f>
        <v>1</v>
      </c>
    </row>
    <row r="25" spans="1:10" ht="15" hidden="1">
      <c r="A25" s="381" t="s">
        <v>126</v>
      </c>
      <c r="B25" s="381"/>
      <c r="C25" s="381"/>
      <c r="D25" s="381"/>
      <c r="E25" s="382">
        <v>0</v>
      </c>
      <c r="F25" s="383">
        <f>'1.3 Frota Total'!E37</f>
        <v>0</v>
      </c>
      <c r="G25" s="383">
        <f>'1.3 Frota Total'!F37</f>
        <v>0</v>
      </c>
      <c r="H25" s="383">
        <f>'1.3 Frota Total'!G37</f>
        <v>0</v>
      </c>
      <c r="I25" s="384">
        <f>'1.3 Frota Total'!H37</f>
        <v>0</v>
      </c>
      <c r="J25" s="436">
        <v>1</v>
      </c>
    </row>
    <row r="26" spans="1:13" ht="15" hidden="1">
      <c r="A26" s="381"/>
      <c r="B26" s="381"/>
      <c r="C26" s="381"/>
      <c r="D26" s="381"/>
      <c r="E26" s="385">
        <v>1</v>
      </c>
      <c r="F26" s="386">
        <f>'1.3 Frota Total'!E38</f>
        <v>0</v>
      </c>
      <c r="G26" s="386">
        <f>'1.3 Frota Total'!F38</f>
        <v>0</v>
      </c>
      <c r="H26" s="386">
        <f>'1.3 Frota Total'!G38</f>
        <v>0</v>
      </c>
      <c r="I26" s="387">
        <f>'1.3 Frota Total'!H38</f>
        <v>0</v>
      </c>
      <c r="J26" s="438">
        <f>1-'A.IX.a. Deprec. veículos'!D19*12</f>
        <v>1</v>
      </c>
      <c r="M26" s="439"/>
    </row>
    <row r="27" spans="1:13" ht="15" hidden="1">
      <c r="A27" s="381"/>
      <c r="B27" s="381"/>
      <c r="C27" s="381"/>
      <c r="D27" s="381"/>
      <c r="E27" s="385">
        <v>2</v>
      </c>
      <c r="F27" s="386">
        <f>'1.3 Frota Total'!E39</f>
        <v>0</v>
      </c>
      <c r="G27" s="386">
        <f>'1.3 Frota Total'!F39</f>
        <v>0</v>
      </c>
      <c r="H27" s="386">
        <f>'1.3 Frota Total'!G39</f>
        <v>0</v>
      </c>
      <c r="I27" s="387">
        <f>'1.3 Frota Total'!H39</f>
        <v>0</v>
      </c>
      <c r="J27" s="438">
        <f>1-SUM('A.IX.a. Deprec. veículos'!D19:D20)*12</f>
        <v>1</v>
      </c>
      <c r="M27" s="439"/>
    </row>
    <row r="28" spans="1:13" ht="15" hidden="1">
      <c r="A28" s="381"/>
      <c r="B28" s="381"/>
      <c r="C28" s="381"/>
      <c r="D28" s="381"/>
      <c r="E28" s="385">
        <v>3</v>
      </c>
      <c r="F28" s="386">
        <f>'1.3 Frota Total'!E40</f>
        <v>0</v>
      </c>
      <c r="G28" s="386">
        <f>'1.3 Frota Total'!F40</f>
        <v>0</v>
      </c>
      <c r="H28" s="386">
        <f>'1.3 Frota Total'!G40</f>
        <v>0</v>
      </c>
      <c r="I28" s="387">
        <f>'1.3 Frota Total'!H40</f>
        <v>0</v>
      </c>
      <c r="J28" s="438">
        <f>1-SUM('A.IX.a. Deprec. veículos'!D19:D21)*12</f>
        <v>1</v>
      </c>
      <c r="M28" s="439"/>
    </row>
    <row r="29" spans="1:13" ht="15" hidden="1">
      <c r="A29" s="381"/>
      <c r="B29" s="381"/>
      <c r="C29" s="381"/>
      <c r="D29" s="381"/>
      <c r="E29" s="385">
        <v>4</v>
      </c>
      <c r="F29" s="386">
        <f>'1.3 Frota Total'!E41</f>
        <v>0</v>
      </c>
      <c r="G29" s="386">
        <f>'1.3 Frota Total'!F41</f>
        <v>0</v>
      </c>
      <c r="H29" s="386">
        <f>'1.3 Frota Total'!G41</f>
        <v>0</v>
      </c>
      <c r="I29" s="387">
        <f>'1.3 Frota Total'!H41</f>
        <v>0</v>
      </c>
      <c r="J29" s="438">
        <f>1-SUM('A.IX.a. Deprec. veículos'!D19:D22)*12</f>
        <v>1</v>
      </c>
      <c r="M29" s="439"/>
    </row>
    <row r="30" spans="1:10" ht="15.75" hidden="1">
      <c r="A30" s="381"/>
      <c r="B30" s="381"/>
      <c r="C30" s="381"/>
      <c r="D30" s="381"/>
      <c r="E30" s="388">
        <v>5</v>
      </c>
      <c r="F30" s="389">
        <f>'1.3 Frota Total'!E42</f>
        <v>0</v>
      </c>
      <c r="G30" s="389">
        <f>'1.3 Frota Total'!F42</f>
        <v>0</v>
      </c>
      <c r="H30" s="389">
        <f>'1.3 Frota Total'!G42</f>
        <v>0</v>
      </c>
      <c r="I30" s="390">
        <f>'1.3 Frota Total'!H42</f>
        <v>0</v>
      </c>
      <c r="J30" s="441">
        <f>1-SUM('A.IX.a. Deprec. veículos'!D19:D23)*12</f>
        <v>1</v>
      </c>
    </row>
    <row r="31" spans="1:10" ht="15" hidden="1">
      <c r="A31" s="395" t="s">
        <v>130</v>
      </c>
      <c r="B31" s="395"/>
      <c r="C31" s="395"/>
      <c r="D31" s="395"/>
      <c r="E31" s="396">
        <v>0</v>
      </c>
      <c r="F31" s="397">
        <f>'1.3 Frota Total'!E43</f>
        <v>0</v>
      </c>
      <c r="G31" s="397">
        <f>'1.3 Frota Total'!F43</f>
        <v>0</v>
      </c>
      <c r="H31" s="397">
        <f>'1.3 Frota Total'!G43</f>
        <v>0</v>
      </c>
      <c r="I31" s="398">
        <f>'1.3 Frota Total'!H43</f>
        <v>0</v>
      </c>
      <c r="J31" s="442">
        <v>1</v>
      </c>
    </row>
    <row r="32" spans="1:10" ht="15" hidden="1">
      <c r="A32" s="395"/>
      <c r="B32" s="395"/>
      <c r="C32" s="395"/>
      <c r="D32" s="395"/>
      <c r="E32" s="385">
        <v>1</v>
      </c>
      <c r="F32" s="386">
        <f>'1.3 Frota Total'!E44</f>
        <v>0</v>
      </c>
      <c r="G32" s="386">
        <f>'1.3 Frota Total'!F44</f>
        <v>0</v>
      </c>
      <c r="H32" s="386">
        <f>'1.3 Frota Total'!G44</f>
        <v>0</v>
      </c>
      <c r="I32" s="387">
        <f>'1.3 Frota Total'!H44</f>
        <v>0</v>
      </c>
      <c r="J32" s="438">
        <f>1-'A.IX.a. Deprec. veículos'!E19*12</f>
        <v>0.8</v>
      </c>
    </row>
    <row r="33" spans="1:10" ht="15" hidden="1">
      <c r="A33" s="395"/>
      <c r="B33" s="395"/>
      <c r="C33" s="395"/>
      <c r="D33" s="395"/>
      <c r="E33" s="385">
        <v>2</v>
      </c>
      <c r="F33" s="386">
        <f>'1.3 Frota Total'!E45</f>
        <v>0</v>
      </c>
      <c r="G33" s="386">
        <f>'1.3 Frota Total'!F45</f>
        <v>0</v>
      </c>
      <c r="H33" s="386">
        <f>'1.3 Frota Total'!G45</f>
        <v>0</v>
      </c>
      <c r="I33" s="387">
        <f>'1.3 Frota Total'!H45</f>
        <v>0</v>
      </c>
      <c r="J33" s="438">
        <f>1-SUM('A.IX.a. Deprec. veículos'!E19:E20)*12</f>
        <v>0.625</v>
      </c>
    </row>
    <row r="34" spans="1:10" ht="15" hidden="1">
      <c r="A34" s="395"/>
      <c r="B34" s="395"/>
      <c r="C34" s="395"/>
      <c r="D34" s="395"/>
      <c r="E34" s="385">
        <v>3</v>
      </c>
      <c r="F34" s="386">
        <f>'1.3 Frota Total'!E46</f>
        <v>0</v>
      </c>
      <c r="G34" s="386">
        <f>'1.3 Frota Total'!F46</f>
        <v>0</v>
      </c>
      <c r="H34" s="386">
        <f>'1.3 Frota Total'!G46</f>
        <v>0</v>
      </c>
      <c r="I34" s="387">
        <f>'1.3 Frota Total'!H46</f>
        <v>0</v>
      </c>
      <c r="J34" s="438">
        <f>1-SUM('A.IX.a. Deprec. veículos'!E19:E21)*12</f>
        <v>0.4750000000000001</v>
      </c>
    </row>
    <row r="35" spans="1:10" ht="15" hidden="1">
      <c r="A35" s="395"/>
      <c r="B35" s="395"/>
      <c r="C35" s="395"/>
      <c r="D35" s="395"/>
      <c r="E35" s="385">
        <v>4</v>
      </c>
      <c r="F35" s="386">
        <f>'1.3 Frota Total'!E47</f>
        <v>0</v>
      </c>
      <c r="G35" s="386">
        <f>'1.3 Frota Total'!F47</f>
        <v>0</v>
      </c>
      <c r="H35" s="386">
        <f>'1.3 Frota Total'!G47</f>
        <v>0</v>
      </c>
      <c r="I35" s="387">
        <f>'1.3 Frota Total'!H47</f>
        <v>0</v>
      </c>
      <c r="J35" s="438">
        <f>1-SUM('A.IX.a. Deprec. veículos'!E19:E22)*12</f>
        <v>0.35</v>
      </c>
    </row>
    <row r="36" spans="1:10" ht="15" hidden="1">
      <c r="A36" s="395"/>
      <c r="B36" s="395"/>
      <c r="C36" s="395"/>
      <c r="D36" s="395"/>
      <c r="E36" s="385">
        <v>5</v>
      </c>
      <c r="F36" s="386">
        <f>'1.3 Frota Total'!E48</f>
        <v>0</v>
      </c>
      <c r="G36" s="386">
        <f>'1.3 Frota Total'!F48</f>
        <v>0</v>
      </c>
      <c r="H36" s="386">
        <f>'1.3 Frota Total'!G48</f>
        <v>0</v>
      </c>
      <c r="I36" s="387">
        <f>'1.3 Frota Total'!H48</f>
        <v>0</v>
      </c>
      <c r="J36" s="438">
        <f>1-SUM('A.IX.a. Deprec. veículos'!E19:E23)*12</f>
        <v>0.25</v>
      </c>
    </row>
    <row r="37" spans="1:10" ht="15" hidden="1">
      <c r="A37" s="395"/>
      <c r="B37" s="395"/>
      <c r="C37" s="395"/>
      <c r="D37" s="395"/>
      <c r="E37" s="385">
        <v>6</v>
      </c>
      <c r="F37" s="386">
        <f>'1.3 Frota Total'!E49</f>
        <v>0</v>
      </c>
      <c r="G37" s="386">
        <f>'1.3 Frota Total'!F49</f>
        <v>0</v>
      </c>
      <c r="H37" s="386">
        <f>'1.3 Frota Total'!G49</f>
        <v>0</v>
      </c>
      <c r="I37" s="387">
        <f>'1.3 Frota Total'!H49</f>
        <v>0</v>
      </c>
      <c r="J37" s="438">
        <f>1-SUM('A.IX.a. Deprec. veículos'!E19:E24)*12</f>
        <v>0.17499999999999993</v>
      </c>
    </row>
    <row r="38" spans="1:10" ht="15" hidden="1">
      <c r="A38" s="395"/>
      <c r="B38" s="395"/>
      <c r="C38" s="395"/>
      <c r="D38" s="395"/>
      <c r="E38" s="385">
        <v>7</v>
      </c>
      <c r="F38" s="386">
        <f>'1.3 Frota Total'!E50</f>
        <v>0</v>
      </c>
      <c r="G38" s="386">
        <f>'1.3 Frota Total'!F50</f>
        <v>0</v>
      </c>
      <c r="H38" s="386">
        <f>'1.3 Frota Total'!G50</f>
        <v>0</v>
      </c>
      <c r="I38" s="387">
        <f>'1.3 Frota Total'!H50</f>
        <v>0</v>
      </c>
      <c r="J38" s="438">
        <f>1-SUM('A.IX.a. Deprec. veículos'!E19:E25)*12</f>
        <v>0.125</v>
      </c>
    </row>
    <row r="39" spans="1:10" ht="15.75" hidden="1">
      <c r="A39" s="395"/>
      <c r="B39" s="395"/>
      <c r="C39" s="395"/>
      <c r="D39" s="395"/>
      <c r="E39" s="392">
        <v>8</v>
      </c>
      <c r="F39" s="386">
        <f>'1.3 Frota Total'!E51</f>
        <v>0</v>
      </c>
      <c r="G39" s="386">
        <f>'1.3 Frota Total'!F51</f>
        <v>0</v>
      </c>
      <c r="H39" s="386">
        <f>'1.3 Frota Total'!G51</f>
        <v>0</v>
      </c>
      <c r="I39" s="387">
        <f>'1.3 Frota Total'!H51</f>
        <v>0</v>
      </c>
      <c r="J39" s="441">
        <f>1-SUM('A.IX.a. Deprec. veículos'!E19:E26)*12</f>
        <v>0.10000000000000009</v>
      </c>
    </row>
    <row r="40" spans="1:10" ht="15">
      <c r="A40" s="381" t="s">
        <v>134</v>
      </c>
      <c r="B40" s="381"/>
      <c r="C40" s="381"/>
      <c r="D40" s="381"/>
      <c r="E40" s="382">
        <v>0</v>
      </c>
      <c r="F40" s="383">
        <f>'1.3 Frota Total'!E52</f>
        <v>0</v>
      </c>
      <c r="G40" s="383">
        <f>'1.3 Frota Total'!F52</f>
        <v>0</v>
      </c>
      <c r="H40" s="383">
        <f>'1.3 Frota Total'!G52</f>
        <v>0</v>
      </c>
      <c r="I40" s="384">
        <f>'1.3 Frota Total'!H52</f>
        <v>0</v>
      </c>
      <c r="J40" s="436">
        <v>1</v>
      </c>
    </row>
    <row r="41" spans="1:10" ht="15">
      <c r="A41" s="381"/>
      <c r="B41" s="381"/>
      <c r="C41" s="381"/>
      <c r="D41" s="381"/>
      <c r="E41" s="385">
        <v>1</v>
      </c>
      <c r="F41" s="386">
        <f>'1.3 Frota Total'!E53</f>
        <v>0</v>
      </c>
      <c r="G41" s="386">
        <f>'1.3 Frota Total'!F53</f>
        <v>0</v>
      </c>
      <c r="H41" s="386">
        <f>'1.3 Frota Total'!G53</f>
        <v>0</v>
      </c>
      <c r="I41" s="387">
        <f>'1.3 Frota Total'!H53</f>
        <v>0</v>
      </c>
      <c r="J41" s="438">
        <f>1-'A.IX.a. Deprec. veículos'!E19*12</f>
        <v>0.8</v>
      </c>
    </row>
    <row r="42" spans="1:10" ht="15">
      <c r="A42" s="381"/>
      <c r="B42" s="381"/>
      <c r="C42" s="381"/>
      <c r="D42" s="381"/>
      <c r="E42" s="385">
        <v>2</v>
      </c>
      <c r="F42" s="386">
        <f>'1.3 Frota Total'!E54</f>
        <v>0</v>
      </c>
      <c r="G42" s="386">
        <f>'1.3 Frota Total'!F54</f>
        <v>0</v>
      </c>
      <c r="H42" s="386">
        <f>'1.3 Frota Total'!G54</f>
        <v>0</v>
      </c>
      <c r="I42" s="387">
        <f>'1.3 Frota Total'!H54</f>
        <v>0</v>
      </c>
      <c r="J42" s="438">
        <f>1-SUM('A.IX.a. Deprec. veículos'!E19:E20)*12</f>
        <v>0.625</v>
      </c>
    </row>
    <row r="43" spans="1:10" ht="15">
      <c r="A43" s="381"/>
      <c r="B43" s="381"/>
      <c r="C43" s="381"/>
      <c r="D43" s="381"/>
      <c r="E43" s="385">
        <v>3</v>
      </c>
      <c r="F43" s="386">
        <f>'1.3 Frota Total'!E55</f>
        <v>0</v>
      </c>
      <c r="G43" s="386">
        <f>'1.3 Frota Total'!F55</f>
        <v>0</v>
      </c>
      <c r="H43" s="386">
        <f>'1.3 Frota Total'!G55</f>
        <v>0</v>
      </c>
      <c r="I43" s="387">
        <f>'1.3 Frota Total'!H55</f>
        <v>0</v>
      </c>
      <c r="J43" s="438">
        <f>1-SUM('A.IX.a. Deprec. veículos'!E19:E21)*12</f>
        <v>0.4750000000000001</v>
      </c>
    </row>
    <row r="44" spans="1:10" ht="15">
      <c r="A44" s="381"/>
      <c r="B44" s="381"/>
      <c r="C44" s="381"/>
      <c r="D44" s="381"/>
      <c r="E44" s="385">
        <v>4</v>
      </c>
      <c r="F44" s="386">
        <f>'1.3 Frota Total'!E56</f>
        <v>2</v>
      </c>
      <c r="G44" s="386">
        <f>'1.3 Frota Total'!F56</f>
        <v>0</v>
      </c>
      <c r="H44" s="386">
        <f>'1.3 Frota Total'!G56</f>
        <v>0</v>
      </c>
      <c r="I44" s="387">
        <f>'1.3 Frota Total'!H56</f>
        <v>0</v>
      </c>
      <c r="J44" s="438">
        <f>1-SUM('A.IX.a. Deprec. veículos'!E19:E22)*12</f>
        <v>0.35</v>
      </c>
    </row>
    <row r="45" spans="1:10" ht="15">
      <c r="A45" s="381"/>
      <c r="B45" s="381"/>
      <c r="C45" s="381"/>
      <c r="D45" s="381"/>
      <c r="E45" s="385">
        <v>5</v>
      </c>
      <c r="F45" s="386">
        <v>0</v>
      </c>
      <c r="G45" s="386">
        <f>'1.3 Frota Total'!F57</f>
        <v>0</v>
      </c>
      <c r="H45" s="386">
        <f>'1.3 Frota Total'!G57</f>
        <v>2</v>
      </c>
      <c r="I45" s="387">
        <f>'1.3 Frota Total'!H57</f>
        <v>0</v>
      </c>
      <c r="J45" s="438">
        <f>1-SUM('A.IX.a. Deprec. veículos'!E19:E23)*12</f>
        <v>0.25</v>
      </c>
    </row>
    <row r="46" spans="1:10" ht="15">
      <c r="A46" s="381"/>
      <c r="B46" s="381"/>
      <c r="C46" s="381"/>
      <c r="D46" s="381"/>
      <c r="E46" s="385">
        <v>6</v>
      </c>
      <c r="F46" s="386">
        <f>'1.3 Frota Total'!E58</f>
        <v>0</v>
      </c>
      <c r="G46" s="386">
        <f>'1.3 Frota Total'!F58</f>
        <v>0</v>
      </c>
      <c r="H46" s="386">
        <f>'1.3 Frota Total'!G58</f>
        <v>0</v>
      </c>
      <c r="I46" s="387">
        <f>'1.3 Frota Total'!H58</f>
        <v>0</v>
      </c>
      <c r="J46" s="438">
        <f>1-SUM('A.IX.a. Deprec. veículos'!E19:E24)*12</f>
        <v>0.17499999999999993</v>
      </c>
    </row>
    <row r="47" spans="1:10" ht="15">
      <c r="A47" s="381"/>
      <c r="B47" s="381"/>
      <c r="C47" s="381"/>
      <c r="D47" s="381"/>
      <c r="E47" s="385">
        <v>7</v>
      </c>
      <c r="F47" s="386">
        <f>'1.3 Frota Total'!E59</f>
        <v>0</v>
      </c>
      <c r="G47" s="386">
        <f>'1.3 Frota Total'!F59</f>
        <v>0</v>
      </c>
      <c r="H47" s="386">
        <f>'1.3 Frota Total'!G59</f>
        <v>0</v>
      </c>
      <c r="I47" s="387">
        <f>'1.3 Frota Total'!H59</f>
        <v>0</v>
      </c>
      <c r="J47" s="438">
        <f>1-SUM('A.IX.a. Deprec. veículos'!E19:E25)*12</f>
        <v>0.125</v>
      </c>
    </row>
    <row r="48" spans="1:10" ht="15.75">
      <c r="A48" s="381"/>
      <c r="B48" s="381"/>
      <c r="C48" s="381"/>
      <c r="D48" s="381"/>
      <c r="E48" s="388">
        <v>8</v>
      </c>
      <c r="F48" s="389">
        <v>7</v>
      </c>
      <c r="G48" s="389">
        <f>'1.3 Frota Total'!F60</f>
        <v>0</v>
      </c>
      <c r="H48" s="389">
        <f>'1.3 Frota Total'!G60</f>
        <v>0</v>
      </c>
      <c r="I48" s="390">
        <f>'1.3 Frota Total'!H60</f>
        <v>0</v>
      </c>
      <c r="J48" s="441">
        <f>1-SUM('A.IX.a. Deprec. veículos'!E19:E26)*12</f>
        <v>0.10000000000000009</v>
      </c>
    </row>
    <row r="49" spans="1:10" ht="15" hidden="1">
      <c r="A49" s="443" t="s">
        <v>138</v>
      </c>
      <c r="B49" s="443"/>
      <c r="C49" s="443"/>
      <c r="D49" s="443"/>
      <c r="E49" s="396">
        <v>0</v>
      </c>
      <c r="F49" s="397">
        <f>'1.3 Frota Total'!E61</f>
        <v>0</v>
      </c>
      <c r="G49" s="397">
        <f>'1.3 Frota Total'!F61</f>
        <v>0</v>
      </c>
      <c r="H49" s="397">
        <f>'1.3 Frota Total'!G61</f>
        <v>0</v>
      </c>
      <c r="I49" s="444">
        <f>'1.3 Frota Total'!H61</f>
        <v>0</v>
      </c>
      <c r="J49" s="445">
        <v>1</v>
      </c>
    </row>
    <row r="50" spans="1:10" ht="15" hidden="1">
      <c r="A50" s="443"/>
      <c r="B50" s="443"/>
      <c r="C50" s="443"/>
      <c r="D50" s="443"/>
      <c r="E50" s="385">
        <v>1</v>
      </c>
      <c r="F50" s="386">
        <f>'1.3 Frota Total'!E62</f>
        <v>0</v>
      </c>
      <c r="G50" s="386">
        <f>'1.3 Frota Total'!F62</f>
        <v>0</v>
      </c>
      <c r="H50" s="386">
        <f>'1.3 Frota Total'!G62</f>
        <v>0</v>
      </c>
      <c r="I50" s="437">
        <f>'1.3 Frota Total'!H62</f>
        <v>0</v>
      </c>
      <c r="J50" s="446">
        <f>1-'A.IX.a. Deprec. veículos'!F19*12</f>
        <v>0.8363636363636364</v>
      </c>
    </row>
    <row r="51" spans="1:10" ht="15" hidden="1">
      <c r="A51" s="443"/>
      <c r="B51" s="443"/>
      <c r="C51" s="443"/>
      <c r="D51" s="443"/>
      <c r="E51" s="385">
        <v>2</v>
      </c>
      <c r="F51" s="386">
        <f>'1.3 Frota Total'!E63</f>
        <v>0</v>
      </c>
      <c r="G51" s="386">
        <f>'1.3 Frota Total'!F63</f>
        <v>0</v>
      </c>
      <c r="H51" s="386">
        <f>'1.3 Frota Total'!G63</f>
        <v>0</v>
      </c>
      <c r="I51" s="437">
        <f>'1.3 Frota Total'!H63</f>
        <v>0</v>
      </c>
      <c r="J51" s="446">
        <f>1-SUM('A.IX.a. Deprec. veículos'!F19:F20)*12</f>
        <v>0.6890909090909091</v>
      </c>
    </row>
    <row r="52" spans="1:10" ht="15" hidden="1">
      <c r="A52" s="443"/>
      <c r="B52" s="443"/>
      <c r="C52" s="443"/>
      <c r="D52" s="443"/>
      <c r="E52" s="385">
        <v>3</v>
      </c>
      <c r="F52" s="386">
        <f>'1.3 Frota Total'!E64</f>
        <v>0</v>
      </c>
      <c r="G52" s="386">
        <f>'1.3 Frota Total'!F64</f>
        <v>0</v>
      </c>
      <c r="H52" s="386">
        <f>'1.3 Frota Total'!G64</f>
        <v>0</v>
      </c>
      <c r="I52" s="437">
        <f>'1.3 Frota Total'!H64</f>
        <v>0</v>
      </c>
      <c r="J52" s="446">
        <f>1-SUM('A.IX.a. Deprec. veículos'!F19:F21)*12</f>
        <v>0.5581818181818181</v>
      </c>
    </row>
    <row r="53" spans="1:10" ht="15" hidden="1">
      <c r="A53" s="443"/>
      <c r="B53" s="443"/>
      <c r="C53" s="443"/>
      <c r="D53" s="443"/>
      <c r="E53" s="385">
        <v>4</v>
      </c>
      <c r="F53" s="386">
        <f>'1.3 Frota Total'!E65</f>
        <v>0</v>
      </c>
      <c r="G53" s="386">
        <f>'1.3 Frota Total'!F65</f>
        <v>0</v>
      </c>
      <c r="H53" s="386">
        <f>'1.3 Frota Total'!G65</f>
        <v>0</v>
      </c>
      <c r="I53" s="437">
        <f>'1.3 Frota Total'!H65</f>
        <v>0</v>
      </c>
      <c r="J53" s="446">
        <f>1-SUM('A.IX.a. Deprec. veículos'!F19:F22)*12</f>
        <v>0.4436363636363636</v>
      </c>
    </row>
    <row r="54" spans="1:10" ht="15" hidden="1">
      <c r="A54" s="443"/>
      <c r="B54" s="443"/>
      <c r="C54" s="443"/>
      <c r="D54" s="443"/>
      <c r="E54" s="385">
        <v>5</v>
      </c>
      <c r="F54" s="386">
        <f>'1.3 Frota Total'!E66</f>
        <v>0</v>
      </c>
      <c r="G54" s="386">
        <f>'1.3 Frota Total'!F66</f>
        <v>0</v>
      </c>
      <c r="H54" s="386">
        <f>'1.3 Frota Total'!G66</f>
        <v>0</v>
      </c>
      <c r="I54" s="437">
        <f>'1.3 Frota Total'!H66</f>
        <v>0</v>
      </c>
      <c r="J54" s="446">
        <f>1-SUM('A.IX.a. Deprec. veículos'!F19:F23)*12</f>
        <v>0.34545454545454546</v>
      </c>
    </row>
    <row r="55" spans="1:10" ht="15" hidden="1">
      <c r="A55" s="443"/>
      <c r="B55" s="443"/>
      <c r="C55" s="443"/>
      <c r="D55" s="443"/>
      <c r="E55" s="385">
        <v>6</v>
      </c>
      <c r="F55" s="386">
        <f>'1.3 Frota Total'!E67</f>
        <v>0</v>
      </c>
      <c r="G55" s="386">
        <f>'1.3 Frota Total'!F67</f>
        <v>0</v>
      </c>
      <c r="H55" s="386">
        <f>'1.3 Frota Total'!G67</f>
        <v>0</v>
      </c>
      <c r="I55" s="437">
        <f>'1.3 Frota Total'!H67</f>
        <v>0</v>
      </c>
      <c r="J55" s="446">
        <f>1-SUM('A.IX.a. Deprec. veículos'!F19:F24)*12</f>
        <v>0.26363636363636367</v>
      </c>
    </row>
    <row r="56" spans="1:10" ht="15" hidden="1">
      <c r="A56" s="443"/>
      <c r="B56" s="443"/>
      <c r="C56" s="443"/>
      <c r="D56" s="443"/>
      <c r="E56" s="385">
        <v>7</v>
      </c>
      <c r="F56" s="386">
        <f>'1.3 Frota Total'!E68</f>
        <v>0</v>
      </c>
      <c r="G56" s="386">
        <f>'1.3 Frota Total'!F68</f>
        <v>0</v>
      </c>
      <c r="H56" s="386">
        <f>'1.3 Frota Total'!G68</f>
        <v>0</v>
      </c>
      <c r="I56" s="437">
        <f>'1.3 Frota Total'!H68</f>
        <v>0</v>
      </c>
      <c r="J56" s="446">
        <f>1-SUM('A.IX.a. Deprec. veículos'!F19:F25)*12</f>
        <v>0.19818181818181824</v>
      </c>
    </row>
    <row r="57" spans="1:10" ht="15" hidden="1">
      <c r="A57" s="443"/>
      <c r="B57" s="443"/>
      <c r="C57" s="443"/>
      <c r="D57" s="443"/>
      <c r="E57" s="385">
        <v>8</v>
      </c>
      <c r="F57" s="386">
        <f>'1.3 Frota Total'!E69</f>
        <v>0</v>
      </c>
      <c r="G57" s="386">
        <f>'1.3 Frota Total'!F69</f>
        <v>0</v>
      </c>
      <c r="H57" s="386">
        <f>'1.3 Frota Total'!G69</f>
        <v>0</v>
      </c>
      <c r="I57" s="437">
        <f>'1.3 Frota Total'!H69</f>
        <v>0</v>
      </c>
      <c r="J57" s="446">
        <f>1-SUM('A.IX.a. Deprec. veículos'!F19:F26)*12</f>
        <v>0.14909090909090916</v>
      </c>
    </row>
    <row r="58" spans="1:10" ht="15" hidden="1">
      <c r="A58" s="443"/>
      <c r="B58" s="443"/>
      <c r="C58" s="443"/>
      <c r="D58" s="443"/>
      <c r="E58" s="385">
        <v>9</v>
      </c>
      <c r="F58" s="386">
        <f>'1.3 Frota Total'!E70</f>
        <v>0</v>
      </c>
      <c r="G58" s="386">
        <f>'1.3 Frota Total'!F70</f>
        <v>0</v>
      </c>
      <c r="H58" s="386">
        <f>'1.3 Frota Total'!G70</f>
        <v>0</v>
      </c>
      <c r="I58" s="437">
        <f>'1.3 Frota Total'!H70</f>
        <v>0</v>
      </c>
      <c r="J58" s="446">
        <f>1-SUM('A.IX.a. Deprec. veículos'!F19:F27)*12</f>
        <v>0.11636363636363634</v>
      </c>
    </row>
    <row r="59" spans="1:10" ht="15.75" hidden="1">
      <c r="A59" s="443"/>
      <c r="B59" s="443"/>
      <c r="C59" s="443"/>
      <c r="D59" s="443"/>
      <c r="E59" s="388">
        <v>10</v>
      </c>
      <c r="F59" s="389">
        <f>'1.3 Frota Total'!E71</f>
        <v>0</v>
      </c>
      <c r="G59" s="389">
        <f>'1.3 Frota Total'!F71</f>
        <v>0</v>
      </c>
      <c r="H59" s="389">
        <f>'1.3 Frota Total'!G71</f>
        <v>0</v>
      </c>
      <c r="I59" s="440">
        <f>'1.3 Frota Total'!H71</f>
        <v>0</v>
      </c>
      <c r="J59" s="447">
        <f>1-SUM('A.IX.a. Deprec. veículos'!F19:F28)*12</f>
        <v>0.10000000000000009</v>
      </c>
    </row>
    <row r="60" spans="1:10" ht="15" hidden="1">
      <c r="A60" s="391" t="s">
        <v>140</v>
      </c>
      <c r="B60" s="391"/>
      <c r="C60" s="391"/>
      <c r="D60" s="391"/>
      <c r="E60" s="382">
        <v>0</v>
      </c>
      <c r="F60" s="383">
        <f>'1.3 Frota Total'!E72</f>
        <v>0</v>
      </c>
      <c r="G60" s="383">
        <f>'1.3 Frota Total'!F72</f>
        <v>0</v>
      </c>
      <c r="H60" s="383">
        <f>'1.3 Frota Total'!G72</f>
        <v>0</v>
      </c>
      <c r="I60" s="384">
        <f>'1.3 Frota Total'!H72</f>
        <v>0</v>
      </c>
      <c r="J60" s="436">
        <v>1</v>
      </c>
    </row>
    <row r="61" spans="1:10" ht="15" hidden="1">
      <c r="A61" s="391"/>
      <c r="B61" s="391"/>
      <c r="C61" s="391"/>
      <c r="D61" s="391"/>
      <c r="E61" s="385">
        <v>1</v>
      </c>
      <c r="F61" s="386">
        <f>'1.3 Frota Total'!E73</f>
        <v>0</v>
      </c>
      <c r="G61" s="386">
        <f>'1.3 Frota Total'!F73</f>
        <v>0</v>
      </c>
      <c r="H61" s="386">
        <f>'1.3 Frota Total'!G73</f>
        <v>0</v>
      </c>
      <c r="I61" s="387">
        <f>'1.3 Frota Total'!H73</f>
        <v>0</v>
      </c>
      <c r="J61" s="438">
        <f>1-'A.IX.a. Deprec. veículos'!G19*12</f>
        <v>1</v>
      </c>
    </row>
    <row r="62" spans="1:10" ht="15" hidden="1">
      <c r="A62" s="391"/>
      <c r="B62" s="391"/>
      <c r="C62" s="391"/>
      <c r="D62" s="391"/>
      <c r="E62" s="385">
        <v>2</v>
      </c>
      <c r="F62" s="386">
        <f>'1.3 Frota Total'!E74</f>
        <v>0</v>
      </c>
      <c r="G62" s="386">
        <f>'1.3 Frota Total'!F74</f>
        <v>0</v>
      </c>
      <c r="H62" s="386">
        <f>'1.3 Frota Total'!G74</f>
        <v>0</v>
      </c>
      <c r="I62" s="387">
        <f>'1.3 Frota Total'!H74</f>
        <v>0</v>
      </c>
      <c r="J62" s="438">
        <f>1-SUM('A.IX.a. Deprec. veículos'!G19:G20)*12</f>
        <v>1</v>
      </c>
    </row>
    <row r="63" spans="1:10" ht="15" hidden="1">
      <c r="A63" s="391"/>
      <c r="B63" s="391"/>
      <c r="C63" s="391"/>
      <c r="D63" s="391"/>
      <c r="E63" s="385">
        <v>3</v>
      </c>
      <c r="F63" s="386">
        <f>'1.3 Frota Total'!E75</f>
        <v>0</v>
      </c>
      <c r="G63" s="386">
        <f>'1.3 Frota Total'!F75</f>
        <v>0</v>
      </c>
      <c r="H63" s="386">
        <f>'1.3 Frota Total'!G75</f>
        <v>0</v>
      </c>
      <c r="I63" s="387">
        <f>'1.3 Frota Total'!H75</f>
        <v>0</v>
      </c>
      <c r="J63" s="438">
        <f>1-SUM('A.IX.a. Deprec. veículos'!G19:G21)*12</f>
        <v>1</v>
      </c>
    </row>
    <row r="64" spans="1:10" ht="15" hidden="1">
      <c r="A64" s="391"/>
      <c r="B64" s="391"/>
      <c r="C64" s="391"/>
      <c r="D64" s="391"/>
      <c r="E64" s="385">
        <v>4</v>
      </c>
      <c r="F64" s="386">
        <f>'1.3 Frota Total'!E76</f>
        <v>0</v>
      </c>
      <c r="G64" s="386">
        <f>'1.3 Frota Total'!F76</f>
        <v>0</v>
      </c>
      <c r="H64" s="386">
        <f>'1.3 Frota Total'!G76</f>
        <v>0</v>
      </c>
      <c r="I64" s="387">
        <f>'1.3 Frota Total'!H76</f>
        <v>0</v>
      </c>
      <c r="J64" s="438">
        <f>1-SUM('A.IX.a. Deprec. veículos'!G19:G22)*12</f>
        <v>1</v>
      </c>
    </row>
    <row r="65" spans="1:10" ht="15" hidden="1">
      <c r="A65" s="391"/>
      <c r="B65" s="391"/>
      <c r="C65" s="391"/>
      <c r="D65" s="391"/>
      <c r="E65" s="385">
        <v>5</v>
      </c>
      <c r="F65" s="386">
        <f>'1.3 Frota Total'!E77</f>
        <v>0</v>
      </c>
      <c r="G65" s="386">
        <f>'1.3 Frota Total'!F77</f>
        <v>0</v>
      </c>
      <c r="H65" s="386">
        <f>'1.3 Frota Total'!G77</f>
        <v>0</v>
      </c>
      <c r="I65" s="387">
        <f>'1.3 Frota Total'!H77</f>
        <v>0</v>
      </c>
      <c r="J65" s="438">
        <f>1-SUM('A.IX.a. Deprec. veículos'!G19:G23)*12</f>
        <v>1</v>
      </c>
    </row>
    <row r="66" spans="1:10" ht="15" hidden="1">
      <c r="A66" s="391"/>
      <c r="B66" s="391"/>
      <c r="C66" s="391"/>
      <c r="D66" s="391"/>
      <c r="E66" s="385">
        <v>6</v>
      </c>
      <c r="F66" s="386">
        <f>'1.3 Frota Total'!E78</f>
        <v>0</v>
      </c>
      <c r="G66" s="386">
        <f>'1.3 Frota Total'!F78</f>
        <v>0</v>
      </c>
      <c r="H66" s="386">
        <f>'1.3 Frota Total'!G78</f>
        <v>0</v>
      </c>
      <c r="I66" s="387">
        <f>'1.3 Frota Total'!H78</f>
        <v>0</v>
      </c>
      <c r="J66" s="438">
        <f>1-SUM('A.IX.a. Deprec. veículos'!G19:G24)*12</f>
        <v>1</v>
      </c>
    </row>
    <row r="67" spans="1:10" ht="15" hidden="1">
      <c r="A67" s="391"/>
      <c r="B67" s="391"/>
      <c r="C67" s="391"/>
      <c r="D67" s="391"/>
      <c r="E67" s="385">
        <v>7</v>
      </c>
      <c r="F67" s="386">
        <f>'1.3 Frota Total'!E79</f>
        <v>0</v>
      </c>
      <c r="G67" s="386">
        <f>'1.3 Frota Total'!F79</f>
        <v>0</v>
      </c>
      <c r="H67" s="386">
        <f>'1.3 Frota Total'!G79</f>
        <v>0</v>
      </c>
      <c r="I67" s="387">
        <f>'1.3 Frota Total'!H79</f>
        <v>0</v>
      </c>
      <c r="J67" s="438">
        <f>1-SUM('A.IX.a. Deprec. veículos'!G19:G25)*12</f>
        <v>1</v>
      </c>
    </row>
    <row r="68" spans="1:10" ht="15" hidden="1">
      <c r="A68" s="391"/>
      <c r="B68" s="391"/>
      <c r="C68" s="391"/>
      <c r="D68" s="391"/>
      <c r="E68" s="385">
        <v>8</v>
      </c>
      <c r="F68" s="386">
        <f>'1.3 Frota Total'!E80</f>
        <v>0</v>
      </c>
      <c r="G68" s="386">
        <f>'1.3 Frota Total'!F80</f>
        <v>0</v>
      </c>
      <c r="H68" s="386">
        <f>'1.3 Frota Total'!G80</f>
        <v>0</v>
      </c>
      <c r="I68" s="387">
        <f>'1.3 Frota Total'!H80</f>
        <v>0</v>
      </c>
      <c r="J68" s="438">
        <f>1-SUM('A.IX.a. Deprec. veículos'!G19:G26)*12</f>
        <v>1</v>
      </c>
    </row>
    <row r="69" spans="1:10" ht="15" hidden="1">
      <c r="A69" s="391"/>
      <c r="B69" s="391"/>
      <c r="C69" s="391"/>
      <c r="D69" s="391"/>
      <c r="E69" s="385">
        <v>9</v>
      </c>
      <c r="F69" s="386">
        <f>'1.3 Frota Total'!E81</f>
        <v>0</v>
      </c>
      <c r="G69" s="386">
        <f>'1.3 Frota Total'!F81</f>
        <v>0</v>
      </c>
      <c r="H69" s="386">
        <f>'1.3 Frota Total'!G81</f>
        <v>0</v>
      </c>
      <c r="I69" s="387">
        <f>'1.3 Frota Total'!H81</f>
        <v>0</v>
      </c>
      <c r="J69" s="438">
        <f>1-SUM('A.IX.a. Deprec. veículos'!G19:G27)*12</f>
        <v>1</v>
      </c>
    </row>
    <row r="70" spans="1:10" ht="15" hidden="1">
      <c r="A70" s="391"/>
      <c r="B70" s="391"/>
      <c r="C70" s="391"/>
      <c r="D70" s="391"/>
      <c r="E70" s="385">
        <v>10</v>
      </c>
      <c r="F70" s="386">
        <f>'1.3 Frota Total'!E82</f>
        <v>0</v>
      </c>
      <c r="G70" s="386">
        <f>'1.3 Frota Total'!F82</f>
        <v>0</v>
      </c>
      <c r="H70" s="386">
        <f>'1.3 Frota Total'!G82</f>
        <v>0</v>
      </c>
      <c r="I70" s="387">
        <f>'1.3 Frota Total'!H82</f>
        <v>0</v>
      </c>
      <c r="J70" s="438">
        <f>1-SUM('A.IX.a. Deprec. veículos'!G19:G28)*12</f>
        <v>1</v>
      </c>
    </row>
    <row r="71" spans="1:10" ht="15" hidden="1">
      <c r="A71" s="391"/>
      <c r="B71" s="391"/>
      <c r="C71" s="391"/>
      <c r="D71" s="391"/>
      <c r="E71" s="385">
        <v>11</v>
      </c>
      <c r="F71" s="386">
        <f>'1.3 Frota Total'!E83</f>
        <v>0</v>
      </c>
      <c r="G71" s="386">
        <f>'1.3 Frota Total'!F83</f>
        <v>0</v>
      </c>
      <c r="H71" s="386">
        <f>'1.3 Frota Total'!G83</f>
        <v>0</v>
      </c>
      <c r="I71" s="387">
        <f>'1.3 Frota Total'!H83</f>
        <v>0</v>
      </c>
      <c r="J71" s="438">
        <f>1-SUM('A.IX.a. Deprec. veículos'!G19:G29)*12</f>
        <v>1</v>
      </c>
    </row>
    <row r="72" spans="1:10" ht="15.75" hidden="1">
      <c r="A72" s="391"/>
      <c r="B72" s="391"/>
      <c r="C72" s="391"/>
      <c r="D72" s="391"/>
      <c r="E72" s="392">
        <v>12</v>
      </c>
      <c r="F72" s="393">
        <f>'1.3 Frota Total'!E84</f>
        <v>0</v>
      </c>
      <c r="G72" s="393">
        <f>'1.3 Frota Total'!F84</f>
        <v>0</v>
      </c>
      <c r="H72" s="393">
        <f>'1.3 Frota Total'!G84</f>
        <v>0</v>
      </c>
      <c r="I72" s="394">
        <f>'1.3 Frota Total'!H84</f>
        <v>0</v>
      </c>
      <c r="J72" s="448">
        <f>1-SUM('A.IX.a. Deprec. veículos'!G19:G30)*12</f>
        <v>1</v>
      </c>
    </row>
    <row r="73" spans="1:10" ht="15" hidden="1">
      <c r="A73" s="449" t="s">
        <v>144</v>
      </c>
      <c r="B73" s="449"/>
      <c r="C73" s="449"/>
      <c r="D73" s="449"/>
      <c r="E73" s="382">
        <v>0</v>
      </c>
      <c r="F73" s="383">
        <f>'1.3 Frota Total'!E85</f>
        <v>0</v>
      </c>
      <c r="G73" s="383">
        <f>'1.3 Frota Total'!F85</f>
        <v>0</v>
      </c>
      <c r="H73" s="383">
        <f>'1.3 Frota Total'!G85</f>
        <v>0</v>
      </c>
      <c r="I73" s="435">
        <f>'1.3 Frota Total'!H85</f>
        <v>0</v>
      </c>
      <c r="J73" s="436">
        <v>1</v>
      </c>
    </row>
    <row r="74" spans="1:10" ht="15" hidden="1">
      <c r="A74" s="449"/>
      <c r="B74" s="449"/>
      <c r="C74" s="449"/>
      <c r="D74" s="449"/>
      <c r="E74" s="385">
        <v>1</v>
      </c>
      <c r="F74" s="386">
        <f>'1.3 Frota Total'!E86</f>
        <v>0</v>
      </c>
      <c r="G74" s="386">
        <f>'1.3 Frota Total'!F86</f>
        <v>0</v>
      </c>
      <c r="H74" s="386">
        <f>'1.3 Frota Total'!G86</f>
        <v>0</v>
      </c>
      <c r="I74" s="437">
        <f>'1.3 Frota Total'!H86</f>
        <v>0</v>
      </c>
      <c r="J74" s="438">
        <f>1-'A.IX.a. Deprec. veículos'!G19*12</f>
        <v>1</v>
      </c>
    </row>
    <row r="75" spans="1:10" ht="15" hidden="1">
      <c r="A75" s="449"/>
      <c r="B75" s="449"/>
      <c r="C75" s="449"/>
      <c r="D75" s="449"/>
      <c r="E75" s="385">
        <v>2</v>
      </c>
      <c r="F75" s="386">
        <f>'1.3 Frota Total'!E87</f>
        <v>0</v>
      </c>
      <c r="G75" s="386">
        <f>'1.3 Frota Total'!F87</f>
        <v>0</v>
      </c>
      <c r="H75" s="386">
        <f>'1.3 Frota Total'!G87</f>
        <v>0</v>
      </c>
      <c r="I75" s="437">
        <f>'1.3 Frota Total'!H87</f>
        <v>0</v>
      </c>
      <c r="J75" s="438">
        <f>1-SUM('A.IX.a. Deprec. veículos'!G19:G20)*12</f>
        <v>1</v>
      </c>
    </row>
    <row r="76" spans="1:10" ht="15" hidden="1">
      <c r="A76" s="449"/>
      <c r="B76" s="449"/>
      <c r="C76" s="449"/>
      <c r="D76" s="449"/>
      <c r="E76" s="385">
        <v>3</v>
      </c>
      <c r="F76" s="386">
        <f>'1.3 Frota Total'!E88</f>
        <v>0</v>
      </c>
      <c r="G76" s="386">
        <f>'1.3 Frota Total'!F88</f>
        <v>0</v>
      </c>
      <c r="H76" s="386">
        <f>'1.3 Frota Total'!G88</f>
        <v>0</v>
      </c>
      <c r="I76" s="437">
        <f>'1.3 Frota Total'!H88</f>
        <v>0</v>
      </c>
      <c r="J76" s="438">
        <f>1-SUM('A.IX.a. Deprec. veículos'!G19:G21)*12</f>
        <v>1</v>
      </c>
    </row>
    <row r="77" spans="1:10" ht="15" hidden="1">
      <c r="A77" s="449"/>
      <c r="B77" s="449"/>
      <c r="C77" s="449"/>
      <c r="D77" s="449"/>
      <c r="E77" s="385">
        <v>4</v>
      </c>
      <c r="F77" s="386">
        <f>'1.3 Frota Total'!E89</f>
        <v>0</v>
      </c>
      <c r="G77" s="386">
        <f>'1.3 Frota Total'!F89</f>
        <v>0</v>
      </c>
      <c r="H77" s="386">
        <f>'1.3 Frota Total'!G89</f>
        <v>0</v>
      </c>
      <c r="I77" s="437">
        <f>'1.3 Frota Total'!H89</f>
        <v>0</v>
      </c>
      <c r="J77" s="438">
        <f>1-SUM('A.IX.a. Deprec. veículos'!G19:G22)*12</f>
        <v>1</v>
      </c>
    </row>
    <row r="78" spans="1:10" ht="15" hidden="1">
      <c r="A78" s="449"/>
      <c r="B78" s="449"/>
      <c r="C78" s="449"/>
      <c r="D78" s="449"/>
      <c r="E78" s="385">
        <v>5</v>
      </c>
      <c r="F78" s="386">
        <f>'1.3 Frota Total'!E90</f>
        <v>0</v>
      </c>
      <c r="G78" s="386">
        <f>'1.3 Frota Total'!F90</f>
        <v>0</v>
      </c>
      <c r="H78" s="386">
        <f>'1.3 Frota Total'!G90</f>
        <v>0</v>
      </c>
      <c r="I78" s="437">
        <f>'1.3 Frota Total'!H90</f>
        <v>0</v>
      </c>
      <c r="J78" s="438">
        <f>1-SUM('A.IX.a. Deprec. veículos'!G19:G23)*12</f>
        <v>1</v>
      </c>
    </row>
    <row r="79" spans="1:10" ht="15" hidden="1">
      <c r="A79" s="449"/>
      <c r="B79" s="449"/>
      <c r="C79" s="449"/>
      <c r="D79" s="449"/>
      <c r="E79" s="385">
        <v>6</v>
      </c>
      <c r="F79" s="386">
        <f>'1.3 Frota Total'!E91</f>
        <v>0</v>
      </c>
      <c r="G79" s="386">
        <f>'1.3 Frota Total'!F91</f>
        <v>0</v>
      </c>
      <c r="H79" s="386">
        <f>'1.3 Frota Total'!G91</f>
        <v>0</v>
      </c>
      <c r="I79" s="437">
        <f>'1.3 Frota Total'!H91</f>
        <v>0</v>
      </c>
      <c r="J79" s="438">
        <f>1-SUM('A.IX.a. Deprec. veículos'!G19:G24)*12</f>
        <v>1</v>
      </c>
    </row>
    <row r="80" spans="1:10" ht="15" hidden="1">
      <c r="A80" s="449"/>
      <c r="B80" s="449"/>
      <c r="C80" s="449"/>
      <c r="D80" s="449"/>
      <c r="E80" s="385">
        <v>7</v>
      </c>
      <c r="F80" s="386">
        <f>'1.3 Frota Total'!E92</f>
        <v>0</v>
      </c>
      <c r="G80" s="386">
        <f>'1.3 Frota Total'!F92</f>
        <v>0</v>
      </c>
      <c r="H80" s="386">
        <f>'1.3 Frota Total'!G92</f>
        <v>0</v>
      </c>
      <c r="I80" s="437">
        <f>'1.3 Frota Total'!H92</f>
        <v>0</v>
      </c>
      <c r="J80" s="438">
        <f>1-SUM('A.IX.a. Deprec. veículos'!G19:G25)*12</f>
        <v>1</v>
      </c>
    </row>
    <row r="81" spans="1:10" ht="15" hidden="1">
      <c r="A81" s="449"/>
      <c r="B81" s="449"/>
      <c r="C81" s="449"/>
      <c r="D81" s="449"/>
      <c r="E81" s="385">
        <v>8</v>
      </c>
      <c r="F81" s="386">
        <f>'1.3 Frota Total'!E93</f>
        <v>0</v>
      </c>
      <c r="G81" s="386">
        <f>'1.3 Frota Total'!F93</f>
        <v>0</v>
      </c>
      <c r="H81" s="386">
        <f>'1.3 Frota Total'!G93</f>
        <v>0</v>
      </c>
      <c r="I81" s="437">
        <f>'1.3 Frota Total'!H93</f>
        <v>0</v>
      </c>
      <c r="J81" s="438">
        <f>1-SUM('A.IX.a. Deprec. veículos'!G19:G26)*12</f>
        <v>1</v>
      </c>
    </row>
    <row r="82" spans="1:10" ht="15" hidden="1">
      <c r="A82" s="449"/>
      <c r="B82" s="449"/>
      <c r="C82" s="449"/>
      <c r="D82" s="449"/>
      <c r="E82" s="385">
        <v>9</v>
      </c>
      <c r="F82" s="386">
        <f>'1.3 Frota Total'!E94</f>
        <v>0</v>
      </c>
      <c r="G82" s="386">
        <f>'1.3 Frota Total'!F94</f>
        <v>0</v>
      </c>
      <c r="H82" s="386">
        <f>'1.3 Frota Total'!G94</f>
        <v>0</v>
      </c>
      <c r="I82" s="437">
        <f>'1.3 Frota Total'!H94</f>
        <v>0</v>
      </c>
      <c r="J82" s="438">
        <f>1-SUM('A.IX.a. Deprec. veículos'!G19:G27)*12</f>
        <v>1</v>
      </c>
    </row>
    <row r="83" spans="1:10" ht="15" hidden="1">
      <c r="A83" s="449"/>
      <c r="B83" s="449"/>
      <c r="C83" s="449"/>
      <c r="D83" s="449"/>
      <c r="E83" s="385">
        <v>10</v>
      </c>
      <c r="F83" s="386">
        <f>'1.3 Frota Total'!E95</f>
        <v>0</v>
      </c>
      <c r="G83" s="386">
        <f>'1.3 Frota Total'!F95</f>
        <v>0</v>
      </c>
      <c r="H83" s="386">
        <f>'1.3 Frota Total'!G95</f>
        <v>0</v>
      </c>
      <c r="I83" s="437">
        <f>'1.3 Frota Total'!H95</f>
        <v>0</v>
      </c>
      <c r="J83" s="438">
        <f>1-SUM('A.IX.a. Deprec. veículos'!G19:G28)*12</f>
        <v>1</v>
      </c>
    </row>
    <row r="84" spans="1:10" ht="15" hidden="1">
      <c r="A84" s="449"/>
      <c r="B84" s="449"/>
      <c r="C84" s="449"/>
      <c r="D84" s="449"/>
      <c r="E84" s="385">
        <v>11</v>
      </c>
      <c r="F84" s="386">
        <f>'1.3 Frota Total'!E96</f>
        <v>0</v>
      </c>
      <c r="G84" s="386">
        <f>'1.3 Frota Total'!F96</f>
        <v>0</v>
      </c>
      <c r="H84" s="386">
        <f>'1.3 Frota Total'!G96</f>
        <v>0</v>
      </c>
      <c r="I84" s="437">
        <f>'1.3 Frota Total'!H96</f>
        <v>0</v>
      </c>
      <c r="J84" s="438">
        <f>1-SUM('A.IX.a. Deprec. veículos'!G19:G29)*12</f>
        <v>1</v>
      </c>
    </row>
    <row r="85" spans="1:10" ht="15.75" hidden="1">
      <c r="A85" s="449"/>
      <c r="B85" s="449"/>
      <c r="C85" s="449"/>
      <c r="D85" s="449"/>
      <c r="E85" s="388">
        <v>12</v>
      </c>
      <c r="F85" s="386">
        <f>'1.3 Frota Total'!E97</f>
        <v>0</v>
      </c>
      <c r="G85" s="386">
        <f>'1.3 Frota Total'!F97</f>
        <v>0</v>
      </c>
      <c r="H85" s="386">
        <f>'1.3 Frota Total'!G97</f>
        <v>0</v>
      </c>
      <c r="I85" s="437">
        <f>'1.3 Frota Total'!H97</f>
        <v>0</v>
      </c>
      <c r="J85" s="441">
        <f>1-SUM('A.IX.a. Deprec. veículos'!G19:G30)*12</f>
        <v>1</v>
      </c>
    </row>
    <row r="88" spans="1:2" ht="15">
      <c r="A88" s="103" t="s">
        <v>682</v>
      </c>
      <c r="B88" s="48" t="s">
        <v>683</v>
      </c>
    </row>
    <row r="89" spans="1:9" s="12" customFormat="1" ht="15">
      <c r="A89" s="119" t="s">
        <v>150</v>
      </c>
      <c r="B89" s="119"/>
      <c r="C89" s="119"/>
      <c r="D89" s="119"/>
      <c r="E89" s="119" t="s">
        <v>158</v>
      </c>
      <c r="F89" s="119" t="s">
        <v>151</v>
      </c>
      <c r="G89" s="119"/>
      <c r="H89" s="119" t="s">
        <v>152</v>
      </c>
      <c r="I89" s="119"/>
    </row>
    <row r="90" spans="1:9" s="12" customFormat="1" ht="15">
      <c r="A90" s="119"/>
      <c r="B90" s="119"/>
      <c r="C90" s="119"/>
      <c r="D90" s="119"/>
      <c r="E90" s="119"/>
      <c r="F90" s="119" t="s">
        <v>153</v>
      </c>
      <c r="G90" s="119" t="s">
        <v>154</v>
      </c>
      <c r="H90" s="119" t="s">
        <v>153</v>
      </c>
      <c r="I90" s="119" t="s">
        <v>154</v>
      </c>
    </row>
    <row r="91" spans="1:9" s="12" customFormat="1" ht="15" hidden="1">
      <c r="A91" s="381" t="s">
        <v>159</v>
      </c>
      <c r="B91" s="381"/>
      <c r="C91" s="381"/>
      <c r="D91" s="381"/>
      <c r="E91" s="382">
        <v>0</v>
      </c>
      <c r="F91" s="450">
        <f aca="true" t="shared" si="0" ref="F91:F157">F19*$J19</f>
        <v>0</v>
      </c>
      <c r="G91" s="450">
        <f aca="true" t="shared" si="1" ref="G91:G157">G19*$J19</f>
        <v>0</v>
      </c>
      <c r="H91" s="450">
        <f aca="true" t="shared" si="2" ref="H91:H157">H19*$J19</f>
        <v>0</v>
      </c>
      <c r="I91" s="451">
        <f aca="true" t="shared" si="3" ref="I91:I157">I19*$J19</f>
        <v>0</v>
      </c>
    </row>
    <row r="92" spans="1:9" s="12" customFormat="1" ht="15" hidden="1">
      <c r="A92" s="381"/>
      <c r="B92" s="381"/>
      <c r="C92" s="381"/>
      <c r="D92" s="381"/>
      <c r="E92" s="385">
        <v>1</v>
      </c>
      <c r="F92" s="452">
        <f t="shared" si="0"/>
        <v>0</v>
      </c>
      <c r="G92" s="452">
        <f t="shared" si="1"/>
        <v>0</v>
      </c>
      <c r="H92" s="452">
        <f t="shared" si="2"/>
        <v>0</v>
      </c>
      <c r="I92" s="453">
        <f t="shared" si="3"/>
        <v>0</v>
      </c>
    </row>
    <row r="93" spans="1:9" s="12" customFormat="1" ht="15" hidden="1">
      <c r="A93" s="381"/>
      <c r="B93" s="381"/>
      <c r="C93" s="381"/>
      <c r="D93" s="381"/>
      <c r="E93" s="385">
        <v>2</v>
      </c>
      <c r="F93" s="452">
        <f t="shared" si="0"/>
        <v>0</v>
      </c>
      <c r="G93" s="452">
        <f t="shared" si="1"/>
        <v>0</v>
      </c>
      <c r="H93" s="452">
        <f t="shared" si="2"/>
        <v>0</v>
      </c>
      <c r="I93" s="453">
        <f t="shared" si="3"/>
        <v>0</v>
      </c>
    </row>
    <row r="94" spans="1:9" s="12" customFormat="1" ht="15" hidden="1">
      <c r="A94" s="381"/>
      <c r="B94" s="381"/>
      <c r="C94" s="381"/>
      <c r="D94" s="381"/>
      <c r="E94" s="385">
        <v>3</v>
      </c>
      <c r="F94" s="452">
        <f t="shared" si="0"/>
        <v>0</v>
      </c>
      <c r="G94" s="452">
        <f t="shared" si="1"/>
        <v>0</v>
      </c>
      <c r="H94" s="452">
        <f t="shared" si="2"/>
        <v>0</v>
      </c>
      <c r="I94" s="453">
        <f t="shared" si="3"/>
        <v>0</v>
      </c>
    </row>
    <row r="95" spans="1:9" s="12" customFormat="1" ht="15" hidden="1">
      <c r="A95" s="381"/>
      <c r="B95" s="381"/>
      <c r="C95" s="381"/>
      <c r="D95" s="381"/>
      <c r="E95" s="385">
        <v>4</v>
      </c>
      <c r="F95" s="452">
        <f t="shared" si="0"/>
        <v>0</v>
      </c>
      <c r="G95" s="452">
        <f t="shared" si="1"/>
        <v>0</v>
      </c>
      <c r="H95" s="452">
        <f t="shared" si="2"/>
        <v>0</v>
      </c>
      <c r="I95" s="453">
        <f t="shared" si="3"/>
        <v>0</v>
      </c>
    </row>
    <row r="96" spans="1:9" s="12" customFormat="1" ht="15.75" hidden="1">
      <c r="A96" s="381"/>
      <c r="B96" s="381"/>
      <c r="C96" s="381"/>
      <c r="D96" s="381"/>
      <c r="E96" s="388">
        <v>5</v>
      </c>
      <c r="F96" s="454">
        <f t="shared" si="0"/>
        <v>0</v>
      </c>
      <c r="G96" s="454">
        <f t="shared" si="1"/>
        <v>0</v>
      </c>
      <c r="H96" s="454">
        <f t="shared" si="2"/>
        <v>0</v>
      </c>
      <c r="I96" s="455">
        <f t="shared" si="3"/>
        <v>0</v>
      </c>
    </row>
    <row r="97" spans="1:9" s="12" customFormat="1" ht="15" hidden="1">
      <c r="A97" s="391" t="s">
        <v>126</v>
      </c>
      <c r="B97" s="391"/>
      <c r="C97" s="391"/>
      <c r="D97" s="391"/>
      <c r="E97" s="382">
        <v>0</v>
      </c>
      <c r="F97" s="450">
        <f t="shared" si="0"/>
        <v>0</v>
      </c>
      <c r="G97" s="450">
        <f t="shared" si="1"/>
        <v>0</v>
      </c>
      <c r="H97" s="450">
        <f t="shared" si="2"/>
        <v>0</v>
      </c>
      <c r="I97" s="451">
        <f t="shared" si="3"/>
        <v>0</v>
      </c>
    </row>
    <row r="98" spans="1:9" s="12" customFormat="1" ht="15" hidden="1">
      <c r="A98" s="391"/>
      <c r="B98" s="391"/>
      <c r="C98" s="391"/>
      <c r="D98" s="391"/>
      <c r="E98" s="385">
        <v>1</v>
      </c>
      <c r="F98" s="452">
        <f t="shared" si="0"/>
        <v>0</v>
      </c>
      <c r="G98" s="452">
        <f t="shared" si="1"/>
        <v>0</v>
      </c>
      <c r="H98" s="452">
        <f t="shared" si="2"/>
        <v>0</v>
      </c>
      <c r="I98" s="453">
        <f t="shared" si="3"/>
        <v>0</v>
      </c>
    </row>
    <row r="99" spans="1:9" s="12" customFormat="1" ht="15" hidden="1">
      <c r="A99" s="391"/>
      <c r="B99" s="391"/>
      <c r="C99" s="391"/>
      <c r="D99" s="391"/>
      <c r="E99" s="385">
        <v>2</v>
      </c>
      <c r="F99" s="452">
        <f t="shared" si="0"/>
        <v>0</v>
      </c>
      <c r="G99" s="452">
        <f t="shared" si="1"/>
        <v>0</v>
      </c>
      <c r="H99" s="452">
        <f t="shared" si="2"/>
        <v>0</v>
      </c>
      <c r="I99" s="453">
        <f t="shared" si="3"/>
        <v>0</v>
      </c>
    </row>
    <row r="100" spans="1:9" s="12" customFormat="1" ht="15" hidden="1">
      <c r="A100" s="391"/>
      <c r="B100" s="391"/>
      <c r="C100" s="391"/>
      <c r="D100" s="391"/>
      <c r="E100" s="385">
        <v>3</v>
      </c>
      <c r="F100" s="452">
        <f t="shared" si="0"/>
        <v>0</v>
      </c>
      <c r="G100" s="452">
        <f t="shared" si="1"/>
        <v>0</v>
      </c>
      <c r="H100" s="452">
        <f t="shared" si="2"/>
        <v>0</v>
      </c>
      <c r="I100" s="453">
        <f t="shared" si="3"/>
        <v>0</v>
      </c>
    </row>
    <row r="101" spans="1:9" s="12" customFormat="1" ht="15" hidden="1">
      <c r="A101" s="391"/>
      <c r="B101" s="391"/>
      <c r="C101" s="391"/>
      <c r="D101" s="391"/>
      <c r="E101" s="385">
        <v>4</v>
      </c>
      <c r="F101" s="452">
        <f t="shared" si="0"/>
        <v>0</v>
      </c>
      <c r="G101" s="452">
        <f t="shared" si="1"/>
        <v>0</v>
      </c>
      <c r="H101" s="452">
        <f t="shared" si="2"/>
        <v>0</v>
      </c>
      <c r="I101" s="453">
        <f t="shared" si="3"/>
        <v>0</v>
      </c>
    </row>
    <row r="102" spans="1:9" s="12" customFormat="1" ht="15.75" hidden="1">
      <c r="A102" s="391"/>
      <c r="B102" s="391"/>
      <c r="C102" s="391"/>
      <c r="D102" s="391"/>
      <c r="E102" s="392">
        <v>5</v>
      </c>
      <c r="F102" s="456">
        <f t="shared" si="0"/>
        <v>0</v>
      </c>
      <c r="G102" s="456">
        <f t="shared" si="1"/>
        <v>0</v>
      </c>
      <c r="H102" s="456">
        <f t="shared" si="2"/>
        <v>0</v>
      </c>
      <c r="I102" s="457">
        <f t="shared" si="3"/>
        <v>0</v>
      </c>
    </row>
    <row r="103" spans="1:9" s="12" customFormat="1" ht="15" hidden="1">
      <c r="A103" s="381" t="s">
        <v>130</v>
      </c>
      <c r="B103" s="381"/>
      <c r="C103" s="381"/>
      <c r="D103" s="381"/>
      <c r="E103" s="382">
        <v>0</v>
      </c>
      <c r="F103" s="450">
        <f t="shared" si="0"/>
        <v>0</v>
      </c>
      <c r="G103" s="450">
        <f t="shared" si="1"/>
        <v>0</v>
      </c>
      <c r="H103" s="450">
        <f t="shared" si="2"/>
        <v>0</v>
      </c>
      <c r="I103" s="451">
        <f t="shared" si="3"/>
        <v>0</v>
      </c>
    </row>
    <row r="104" spans="1:9" s="12" customFormat="1" ht="15" hidden="1">
      <c r="A104" s="381"/>
      <c r="B104" s="381"/>
      <c r="C104" s="381"/>
      <c r="D104" s="381"/>
      <c r="E104" s="385">
        <v>1</v>
      </c>
      <c r="F104" s="452">
        <f t="shared" si="0"/>
        <v>0</v>
      </c>
      <c r="G104" s="452">
        <f t="shared" si="1"/>
        <v>0</v>
      </c>
      <c r="H104" s="452">
        <f t="shared" si="2"/>
        <v>0</v>
      </c>
      <c r="I104" s="453">
        <f t="shared" si="3"/>
        <v>0</v>
      </c>
    </row>
    <row r="105" spans="1:9" s="12" customFormat="1" ht="15" hidden="1">
      <c r="A105" s="381"/>
      <c r="B105" s="381"/>
      <c r="C105" s="381"/>
      <c r="D105" s="381"/>
      <c r="E105" s="385">
        <v>2</v>
      </c>
      <c r="F105" s="452">
        <f t="shared" si="0"/>
        <v>0</v>
      </c>
      <c r="G105" s="452">
        <f t="shared" si="1"/>
        <v>0</v>
      </c>
      <c r="H105" s="452">
        <f t="shared" si="2"/>
        <v>0</v>
      </c>
      <c r="I105" s="453">
        <f t="shared" si="3"/>
        <v>0</v>
      </c>
    </row>
    <row r="106" spans="1:9" s="12" customFormat="1" ht="15" hidden="1">
      <c r="A106" s="381"/>
      <c r="B106" s="381"/>
      <c r="C106" s="381"/>
      <c r="D106" s="381"/>
      <c r="E106" s="385">
        <v>3</v>
      </c>
      <c r="F106" s="452">
        <f t="shared" si="0"/>
        <v>0</v>
      </c>
      <c r="G106" s="452">
        <f t="shared" si="1"/>
        <v>0</v>
      </c>
      <c r="H106" s="452">
        <f t="shared" si="2"/>
        <v>0</v>
      </c>
      <c r="I106" s="453">
        <f t="shared" si="3"/>
        <v>0</v>
      </c>
    </row>
    <row r="107" spans="1:9" s="12" customFormat="1" ht="15" hidden="1">
      <c r="A107" s="381"/>
      <c r="B107" s="381"/>
      <c r="C107" s="381"/>
      <c r="D107" s="381"/>
      <c r="E107" s="385">
        <v>4</v>
      </c>
      <c r="F107" s="452">
        <f t="shared" si="0"/>
        <v>0</v>
      </c>
      <c r="G107" s="452">
        <f t="shared" si="1"/>
        <v>0</v>
      </c>
      <c r="H107" s="452">
        <f t="shared" si="2"/>
        <v>0</v>
      </c>
      <c r="I107" s="453">
        <f t="shared" si="3"/>
        <v>0</v>
      </c>
    </row>
    <row r="108" spans="1:9" s="12" customFormat="1" ht="15" hidden="1">
      <c r="A108" s="381"/>
      <c r="B108" s="381"/>
      <c r="C108" s="381"/>
      <c r="D108" s="381"/>
      <c r="E108" s="385">
        <v>5</v>
      </c>
      <c r="F108" s="452">
        <f t="shared" si="0"/>
        <v>0</v>
      </c>
      <c r="G108" s="452">
        <f t="shared" si="1"/>
        <v>0</v>
      </c>
      <c r="H108" s="452">
        <f t="shared" si="2"/>
        <v>0</v>
      </c>
      <c r="I108" s="453">
        <f t="shared" si="3"/>
        <v>0</v>
      </c>
    </row>
    <row r="109" spans="1:9" s="12" customFormat="1" ht="15" hidden="1">
      <c r="A109" s="381"/>
      <c r="B109" s="381"/>
      <c r="C109" s="381"/>
      <c r="D109" s="381"/>
      <c r="E109" s="385">
        <v>6</v>
      </c>
      <c r="F109" s="452">
        <f t="shared" si="0"/>
        <v>0</v>
      </c>
      <c r="G109" s="452">
        <f t="shared" si="1"/>
        <v>0</v>
      </c>
      <c r="H109" s="452">
        <f t="shared" si="2"/>
        <v>0</v>
      </c>
      <c r="I109" s="453">
        <f t="shared" si="3"/>
        <v>0</v>
      </c>
    </row>
    <row r="110" spans="1:9" s="12" customFormat="1" ht="15" hidden="1">
      <c r="A110" s="381"/>
      <c r="B110" s="381"/>
      <c r="C110" s="381"/>
      <c r="D110" s="381"/>
      <c r="E110" s="385">
        <v>7</v>
      </c>
      <c r="F110" s="452">
        <f t="shared" si="0"/>
        <v>0</v>
      </c>
      <c r="G110" s="452">
        <f t="shared" si="1"/>
        <v>0</v>
      </c>
      <c r="H110" s="452">
        <f t="shared" si="2"/>
        <v>0</v>
      </c>
      <c r="I110" s="453">
        <f t="shared" si="3"/>
        <v>0</v>
      </c>
    </row>
    <row r="111" spans="1:9" s="12" customFormat="1" ht="15.75" hidden="1">
      <c r="A111" s="381"/>
      <c r="B111" s="381"/>
      <c r="C111" s="381"/>
      <c r="D111" s="381"/>
      <c r="E111" s="388">
        <v>8</v>
      </c>
      <c r="F111" s="454">
        <f t="shared" si="0"/>
        <v>0</v>
      </c>
      <c r="G111" s="454">
        <f t="shared" si="1"/>
        <v>0</v>
      </c>
      <c r="H111" s="454">
        <f t="shared" si="2"/>
        <v>0</v>
      </c>
      <c r="I111" s="455">
        <f t="shared" si="3"/>
        <v>0</v>
      </c>
    </row>
    <row r="112" spans="1:9" s="12" customFormat="1" ht="15">
      <c r="A112" s="443" t="s">
        <v>134</v>
      </c>
      <c r="B112" s="443"/>
      <c r="C112" s="443"/>
      <c r="D112" s="443"/>
      <c r="E112" s="396">
        <v>0</v>
      </c>
      <c r="F112" s="458">
        <f t="shared" si="0"/>
        <v>0</v>
      </c>
      <c r="G112" s="458">
        <f t="shared" si="1"/>
        <v>0</v>
      </c>
      <c r="H112" s="458">
        <f t="shared" si="2"/>
        <v>0</v>
      </c>
      <c r="I112" s="459">
        <f t="shared" si="3"/>
        <v>0</v>
      </c>
    </row>
    <row r="113" spans="1:9" s="12" customFormat="1" ht="15">
      <c r="A113" s="443"/>
      <c r="B113" s="443"/>
      <c r="C113" s="443"/>
      <c r="D113" s="443"/>
      <c r="E113" s="385">
        <v>1</v>
      </c>
      <c r="F113" s="452">
        <f t="shared" si="0"/>
        <v>0</v>
      </c>
      <c r="G113" s="452">
        <f t="shared" si="1"/>
        <v>0</v>
      </c>
      <c r="H113" s="452">
        <f t="shared" si="2"/>
        <v>0</v>
      </c>
      <c r="I113" s="453">
        <f t="shared" si="3"/>
        <v>0</v>
      </c>
    </row>
    <row r="114" spans="1:9" s="12" customFormat="1" ht="15">
      <c r="A114" s="443"/>
      <c r="B114" s="443"/>
      <c r="C114" s="443"/>
      <c r="D114" s="443"/>
      <c r="E114" s="385">
        <v>2</v>
      </c>
      <c r="F114" s="452">
        <f t="shared" si="0"/>
        <v>0</v>
      </c>
      <c r="G114" s="452">
        <f t="shared" si="1"/>
        <v>0</v>
      </c>
      <c r="H114" s="452">
        <f t="shared" si="2"/>
        <v>0</v>
      </c>
      <c r="I114" s="453">
        <f t="shared" si="3"/>
        <v>0</v>
      </c>
    </row>
    <row r="115" spans="1:9" s="12" customFormat="1" ht="15">
      <c r="A115" s="443"/>
      <c r="B115" s="443"/>
      <c r="C115" s="443"/>
      <c r="D115" s="443"/>
      <c r="E115" s="385">
        <v>3</v>
      </c>
      <c r="F115" s="452">
        <f t="shared" si="0"/>
        <v>0</v>
      </c>
      <c r="G115" s="452">
        <f t="shared" si="1"/>
        <v>0</v>
      </c>
      <c r="H115" s="452">
        <f t="shared" si="2"/>
        <v>0</v>
      </c>
      <c r="I115" s="453">
        <f t="shared" si="3"/>
        <v>0</v>
      </c>
    </row>
    <row r="116" spans="1:9" s="12" customFormat="1" ht="15">
      <c r="A116" s="443"/>
      <c r="B116" s="443"/>
      <c r="C116" s="443"/>
      <c r="D116" s="443"/>
      <c r="E116" s="385">
        <v>4</v>
      </c>
      <c r="F116" s="452">
        <f t="shared" si="0"/>
        <v>0.7</v>
      </c>
      <c r="G116" s="452">
        <f t="shared" si="1"/>
        <v>0</v>
      </c>
      <c r="H116" s="452">
        <f t="shared" si="2"/>
        <v>0</v>
      </c>
      <c r="I116" s="453">
        <f t="shared" si="3"/>
        <v>0</v>
      </c>
    </row>
    <row r="117" spans="1:9" s="12" customFormat="1" ht="15">
      <c r="A117" s="443"/>
      <c r="B117" s="443"/>
      <c r="C117" s="443"/>
      <c r="D117" s="443"/>
      <c r="E117" s="385">
        <v>5</v>
      </c>
      <c r="F117" s="452">
        <f t="shared" si="0"/>
        <v>0</v>
      </c>
      <c r="G117" s="452">
        <f t="shared" si="1"/>
        <v>0</v>
      </c>
      <c r="H117" s="452">
        <f t="shared" si="2"/>
        <v>0.5</v>
      </c>
      <c r="I117" s="453">
        <f t="shared" si="3"/>
        <v>0</v>
      </c>
    </row>
    <row r="118" spans="1:9" s="12" customFormat="1" ht="15">
      <c r="A118" s="443"/>
      <c r="B118" s="443"/>
      <c r="C118" s="443"/>
      <c r="D118" s="443"/>
      <c r="E118" s="385">
        <v>6</v>
      </c>
      <c r="F118" s="452">
        <f t="shared" si="0"/>
        <v>0</v>
      </c>
      <c r="G118" s="452">
        <f t="shared" si="1"/>
        <v>0</v>
      </c>
      <c r="H118" s="452">
        <f t="shared" si="2"/>
        <v>0</v>
      </c>
      <c r="I118" s="453">
        <f t="shared" si="3"/>
        <v>0</v>
      </c>
    </row>
    <row r="119" spans="1:9" s="12" customFormat="1" ht="15">
      <c r="A119" s="443"/>
      <c r="B119" s="443"/>
      <c r="C119" s="443"/>
      <c r="D119" s="443"/>
      <c r="E119" s="385">
        <v>7</v>
      </c>
      <c r="F119" s="452">
        <f t="shared" si="0"/>
        <v>0</v>
      </c>
      <c r="G119" s="452">
        <f t="shared" si="1"/>
        <v>0</v>
      </c>
      <c r="H119" s="452">
        <f t="shared" si="2"/>
        <v>0</v>
      </c>
      <c r="I119" s="453">
        <f t="shared" si="3"/>
        <v>0</v>
      </c>
    </row>
    <row r="120" spans="1:9" s="12" customFormat="1" ht="15.75">
      <c r="A120" s="443"/>
      <c r="B120" s="443"/>
      <c r="C120" s="443"/>
      <c r="D120" s="443"/>
      <c r="E120" s="388">
        <v>8</v>
      </c>
      <c r="F120" s="454">
        <f t="shared" si="0"/>
        <v>0.7000000000000006</v>
      </c>
      <c r="G120" s="454">
        <f t="shared" si="1"/>
        <v>0</v>
      </c>
      <c r="H120" s="454">
        <f t="shared" si="2"/>
        <v>0</v>
      </c>
      <c r="I120" s="455">
        <f t="shared" si="3"/>
        <v>0</v>
      </c>
    </row>
    <row r="121" spans="1:9" s="12" customFormat="1" ht="15" hidden="1">
      <c r="A121" s="381" t="s">
        <v>138</v>
      </c>
      <c r="B121" s="381"/>
      <c r="C121" s="381"/>
      <c r="D121" s="381"/>
      <c r="E121" s="382">
        <v>0</v>
      </c>
      <c r="F121" s="450">
        <f t="shared" si="0"/>
        <v>0</v>
      </c>
      <c r="G121" s="450">
        <f t="shared" si="1"/>
        <v>0</v>
      </c>
      <c r="H121" s="450">
        <f t="shared" si="2"/>
        <v>0</v>
      </c>
      <c r="I121" s="451">
        <f t="shared" si="3"/>
        <v>0</v>
      </c>
    </row>
    <row r="122" spans="1:9" s="12" customFormat="1" ht="15" hidden="1">
      <c r="A122" s="381"/>
      <c r="B122" s="381"/>
      <c r="C122" s="381"/>
      <c r="D122" s="381"/>
      <c r="E122" s="385">
        <v>1</v>
      </c>
      <c r="F122" s="452">
        <f t="shared" si="0"/>
        <v>0</v>
      </c>
      <c r="G122" s="452">
        <f t="shared" si="1"/>
        <v>0</v>
      </c>
      <c r="H122" s="452">
        <f t="shared" si="2"/>
        <v>0</v>
      </c>
      <c r="I122" s="453">
        <f t="shared" si="3"/>
        <v>0</v>
      </c>
    </row>
    <row r="123" spans="1:9" s="12" customFormat="1" ht="15" hidden="1">
      <c r="A123" s="381"/>
      <c r="B123" s="381"/>
      <c r="C123" s="381"/>
      <c r="D123" s="381"/>
      <c r="E123" s="385">
        <v>2</v>
      </c>
      <c r="F123" s="452">
        <f t="shared" si="0"/>
        <v>0</v>
      </c>
      <c r="G123" s="452">
        <f t="shared" si="1"/>
        <v>0</v>
      </c>
      <c r="H123" s="452">
        <f t="shared" si="2"/>
        <v>0</v>
      </c>
      <c r="I123" s="453">
        <f t="shared" si="3"/>
        <v>0</v>
      </c>
    </row>
    <row r="124" spans="1:9" s="12" customFormat="1" ht="15" hidden="1">
      <c r="A124" s="381"/>
      <c r="B124" s="381"/>
      <c r="C124" s="381"/>
      <c r="D124" s="381"/>
      <c r="E124" s="385">
        <v>3</v>
      </c>
      <c r="F124" s="452">
        <f t="shared" si="0"/>
        <v>0</v>
      </c>
      <c r="G124" s="452">
        <f t="shared" si="1"/>
        <v>0</v>
      </c>
      <c r="H124" s="452">
        <f t="shared" si="2"/>
        <v>0</v>
      </c>
      <c r="I124" s="453">
        <f t="shared" si="3"/>
        <v>0</v>
      </c>
    </row>
    <row r="125" spans="1:9" s="12" customFormat="1" ht="15" hidden="1">
      <c r="A125" s="381"/>
      <c r="B125" s="381"/>
      <c r="C125" s="381"/>
      <c r="D125" s="381"/>
      <c r="E125" s="385">
        <v>4</v>
      </c>
      <c r="F125" s="452">
        <f t="shared" si="0"/>
        <v>0</v>
      </c>
      <c r="G125" s="452">
        <f t="shared" si="1"/>
        <v>0</v>
      </c>
      <c r="H125" s="452">
        <f t="shared" si="2"/>
        <v>0</v>
      </c>
      <c r="I125" s="453">
        <f t="shared" si="3"/>
        <v>0</v>
      </c>
    </row>
    <row r="126" spans="1:9" s="12" customFormat="1" ht="15" hidden="1">
      <c r="A126" s="381"/>
      <c r="B126" s="381"/>
      <c r="C126" s="381"/>
      <c r="D126" s="381"/>
      <c r="E126" s="385">
        <v>5</v>
      </c>
      <c r="F126" s="452">
        <f t="shared" si="0"/>
        <v>0</v>
      </c>
      <c r="G126" s="452">
        <f t="shared" si="1"/>
        <v>0</v>
      </c>
      <c r="H126" s="452">
        <f t="shared" si="2"/>
        <v>0</v>
      </c>
      <c r="I126" s="453">
        <f t="shared" si="3"/>
        <v>0</v>
      </c>
    </row>
    <row r="127" spans="1:9" s="12" customFormat="1" ht="15" hidden="1">
      <c r="A127" s="381"/>
      <c r="B127" s="381"/>
      <c r="C127" s="381"/>
      <c r="D127" s="381"/>
      <c r="E127" s="385">
        <v>6</v>
      </c>
      <c r="F127" s="452">
        <f t="shared" si="0"/>
        <v>0</v>
      </c>
      <c r="G127" s="452">
        <f t="shared" si="1"/>
        <v>0</v>
      </c>
      <c r="H127" s="452">
        <f t="shared" si="2"/>
        <v>0</v>
      </c>
      <c r="I127" s="453">
        <f t="shared" si="3"/>
        <v>0</v>
      </c>
    </row>
    <row r="128" spans="1:9" s="12" customFormat="1" ht="15" hidden="1">
      <c r="A128" s="381"/>
      <c r="B128" s="381"/>
      <c r="C128" s="381"/>
      <c r="D128" s="381"/>
      <c r="E128" s="385">
        <v>7</v>
      </c>
      <c r="F128" s="452">
        <f t="shared" si="0"/>
        <v>0</v>
      </c>
      <c r="G128" s="452">
        <f t="shared" si="1"/>
        <v>0</v>
      </c>
      <c r="H128" s="452">
        <f t="shared" si="2"/>
        <v>0</v>
      </c>
      <c r="I128" s="453">
        <f t="shared" si="3"/>
        <v>0</v>
      </c>
    </row>
    <row r="129" spans="1:9" s="12" customFormat="1" ht="15" hidden="1">
      <c r="A129" s="381"/>
      <c r="B129" s="381"/>
      <c r="C129" s="381"/>
      <c r="D129" s="381"/>
      <c r="E129" s="385">
        <v>8</v>
      </c>
      <c r="F129" s="452">
        <f t="shared" si="0"/>
        <v>0</v>
      </c>
      <c r="G129" s="452">
        <f t="shared" si="1"/>
        <v>0</v>
      </c>
      <c r="H129" s="452">
        <f t="shared" si="2"/>
        <v>0</v>
      </c>
      <c r="I129" s="453">
        <f t="shared" si="3"/>
        <v>0</v>
      </c>
    </row>
    <row r="130" spans="1:9" s="12" customFormat="1" ht="15" hidden="1">
      <c r="A130" s="381"/>
      <c r="B130" s="381"/>
      <c r="C130" s="381"/>
      <c r="D130" s="381"/>
      <c r="E130" s="385">
        <v>9</v>
      </c>
      <c r="F130" s="452">
        <f t="shared" si="0"/>
        <v>0</v>
      </c>
      <c r="G130" s="452">
        <f t="shared" si="1"/>
        <v>0</v>
      </c>
      <c r="H130" s="452">
        <f t="shared" si="2"/>
        <v>0</v>
      </c>
      <c r="I130" s="453">
        <f t="shared" si="3"/>
        <v>0</v>
      </c>
    </row>
    <row r="131" spans="1:9" s="12" customFormat="1" ht="15.75" hidden="1">
      <c r="A131" s="381"/>
      <c r="B131" s="381"/>
      <c r="C131" s="381"/>
      <c r="D131" s="381"/>
      <c r="E131" s="388">
        <v>10</v>
      </c>
      <c r="F131" s="454">
        <f t="shared" si="0"/>
        <v>0</v>
      </c>
      <c r="G131" s="454">
        <f t="shared" si="1"/>
        <v>0</v>
      </c>
      <c r="H131" s="454">
        <f t="shared" si="2"/>
        <v>0</v>
      </c>
      <c r="I131" s="455">
        <f t="shared" si="3"/>
        <v>0</v>
      </c>
    </row>
    <row r="132" spans="1:9" s="12" customFormat="1" ht="15" hidden="1">
      <c r="A132" s="381" t="s">
        <v>140</v>
      </c>
      <c r="B132" s="381"/>
      <c r="C132" s="381"/>
      <c r="D132" s="381"/>
      <c r="E132" s="382">
        <v>0</v>
      </c>
      <c r="F132" s="450">
        <f t="shared" si="0"/>
        <v>0</v>
      </c>
      <c r="G132" s="450">
        <f t="shared" si="1"/>
        <v>0</v>
      </c>
      <c r="H132" s="450">
        <f t="shared" si="2"/>
        <v>0</v>
      </c>
      <c r="I132" s="451">
        <f t="shared" si="3"/>
        <v>0</v>
      </c>
    </row>
    <row r="133" spans="1:9" s="12" customFormat="1" ht="15" hidden="1">
      <c r="A133" s="381"/>
      <c r="B133" s="381"/>
      <c r="C133" s="381"/>
      <c r="D133" s="381"/>
      <c r="E133" s="385">
        <v>1</v>
      </c>
      <c r="F133" s="452">
        <f t="shared" si="0"/>
        <v>0</v>
      </c>
      <c r="G133" s="452">
        <f t="shared" si="1"/>
        <v>0</v>
      </c>
      <c r="H133" s="452">
        <f t="shared" si="2"/>
        <v>0</v>
      </c>
      <c r="I133" s="453">
        <f t="shared" si="3"/>
        <v>0</v>
      </c>
    </row>
    <row r="134" spans="1:9" s="12" customFormat="1" ht="15" hidden="1">
      <c r="A134" s="381"/>
      <c r="B134" s="381"/>
      <c r="C134" s="381"/>
      <c r="D134" s="381"/>
      <c r="E134" s="385">
        <v>2</v>
      </c>
      <c r="F134" s="452">
        <f t="shared" si="0"/>
        <v>0</v>
      </c>
      <c r="G134" s="452">
        <f t="shared" si="1"/>
        <v>0</v>
      </c>
      <c r="H134" s="452">
        <f t="shared" si="2"/>
        <v>0</v>
      </c>
      <c r="I134" s="453">
        <f t="shared" si="3"/>
        <v>0</v>
      </c>
    </row>
    <row r="135" spans="1:9" s="12" customFormat="1" ht="15" hidden="1">
      <c r="A135" s="381"/>
      <c r="B135" s="381"/>
      <c r="C135" s="381"/>
      <c r="D135" s="381"/>
      <c r="E135" s="385">
        <v>3</v>
      </c>
      <c r="F135" s="452">
        <f t="shared" si="0"/>
        <v>0</v>
      </c>
      <c r="G135" s="452">
        <f t="shared" si="1"/>
        <v>0</v>
      </c>
      <c r="H135" s="452">
        <f t="shared" si="2"/>
        <v>0</v>
      </c>
      <c r="I135" s="453">
        <f t="shared" si="3"/>
        <v>0</v>
      </c>
    </row>
    <row r="136" spans="1:9" s="12" customFormat="1" ht="15" hidden="1">
      <c r="A136" s="381"/>
      <c r="B136" s="381"/>
      <c r="C136" s="381"/>
      <c r="D136" s="381"/>
      <c r="E136" s="385">
        <v>4</v>
      </c>
      <c r="F136" s="452">
        <f t="shared" si="0"/>
        <v>0</v>
      </c>
      <c r="G136" s="452">
        <f t="shared" si="1"/>
        <v>0</v>
      </c>
      <c r="H136" s="452">
        <f t="shared" si="2"/>
        <v>0</v>
      </c>
      <c r="I136" s="453">
        <f t="shared" si="3"/>
        <v>0</v>
      </c>
    </row>
    <row r="137" spans="1:9" s="12" customFormat="1" ht="15" hidden="1">
      <c r="A137" s="381"/>
      <c r="B137" s="381"/>
      <c r="C137" s="381"/>
      <c r="D137" s="381"/>
      <c r="E137" s="385">
        <v>5</v>
      </c>
      <c r="F137" s="452">
        <f t="shared" si="0"/>
        <v>0</v>
      </c>
      <c r="G137" s="452">
        <f t="shared" si="1"/>
        <v>0</v>
      </c>
      <c r="H137" s="452">
        <f t="shared" si="2"/>
        <v>0</v>
      </c>
      <c r="I137" s="453">
        <f t="shared" si="3"/>
        <v>0</v>
      </c>
    </row>
    <row r="138" spans="1:9" s="12" customFormat="1" ht="15" hidden="1">
      <c r="A138" s="381"/>
      <c r="B138" s="381"/>
      <c r="C138" s="381"/>
      <c r="D138" s="381"/>
      <c r="E138" s="385">
        <v>6</v>
      </c>
      <c r="F138" s="452">
        <f t="shared" si="0"/>
        <v>0</v>
      </c>
      <c r="G138" s="452">
        <f t="shared" si="1"/>
        <v>0</v>
      </c>
      <c r="H138" s="452">
        <f t="shared" si="2"/>
        <v>0</v>
      </c>
      <c r="I138" s="453">
        <f t="shared" si="3"/>
        <v>0</v>
      </c>
    </row>
    <row r="139" spans="1:9" s="12" customFormat="1" ht="15" hidden="1">
      <c r="A139" s="381"/>
      <c r="B139" s="381"/>
      <c r="C139" s="381"/>
      <c r="D139" s="381"/>
      <c r="E139" s="385">
        <v>7</v>
      </c>
      <c r="F139" s="452">
        <f t="shared" si="0"/>
        <v>0</v>
      </c>
      <c r="G139" s="452">
        <f t="shared" si="1"/>
        <v>0</v>
      </c>
      <c r="H139" s="452">
        <f t="shared" si="2"/>
        <v>0</v>
      </c>
      <c r="I139" s="453">
        <f t="shared" si="3"/>
        <v>0</v>
      </c>
    </row>
    <row r="140" spans="1:9" s="12" customFormat="1" ht="15" hidden="1">
      <c r="A140" s="381"/>
      <c r="B140" s="381"/>
      <c r="C140" s="381"/>
      <c r="D140" s="381"/>
      <c r="E140" s="385">
        <v>8</v>
      </c>
      <c r="F140" s="452">
        <f t="shared" si="0"/>
        <v>0</v>
      </c>
      <c r="G140" s="452">
        <f t="shared" si="1"/>
        <v>0</v>
      </c>
      <c r="H140" s="452">
        <f t="shared" si="2"/>
        <v>0</v>
      </c>
      <c r="I140" s="453">
        <f t="shared" si="3"/>
        <v>0</v>
      </c>
    </row>
    <row r="141" spans="1:9" s="12" customFormat="1" ht="15" hidden="1">
      <c r="A141" s="381"/>
      <c r="B141" s="381"/>
      <c r="C141" s="381"/>
      <c r="D141" s="381"/>
      <c r="E141" s="385">
        <v>9</v>
      </c>
      <c r="F141" s="452">
        <f t="shared" si="0"/>
        <v>0</v>
      </c>
      <c r="G141" s="452">
        <f t="shared" si="1"/>
        <v>0</v>
      </c>
      <c r="H141" s="452">
        <f t="shared" si="2"/>
        <v>0</v>
      </c>
      <c r="I141" s="453">
        <f t="shared" si="3"/>
        <v>0</v>
      </c>
    </row>
    <row r="142" spans="1:9" s="12" customFormat="1" ht="15" hidden="1">
      <c r="A142" s="381"/>
      <c r="B142" s="381"/>
      <c r="C142" s="381"/>
      <c r="D142" s="381"/>
      <c r="E142" s="385">
        <v>10</v>
      </c>
      <c r="F142" s="452">
        <f t="shared" si="0"/>
        <v>0</v>
      </c>
      <c r="G142" s="452">
        <f t="shared" si="1"/>
        <v>0</v>
      </c>
      <c r="H142" s="452">
        <f t="shared" si="2"/>
        <v>0</v>
      </c>
      <c r="I142" s="453">
        <f t="shared" si="3"/>
        <v>0</v>
      </c>
    </row>
    <row r="143" spans="1:9" s="12" customFormat="1" ht="15" hidden="1">
      <c r="A143" s="381"/>
      <c r="B143" s="381"/>
      <c r="C143" s="381"/>
      <c r="D143" s="381"/>
      <c r="E143" s="385">
        <v>11</v>
      </c>
      <c r="F143" s="452">
        <f t="shared" si="0"/>
        <v>0</v>
      </c>
      <c r="G143" s="452">
        <f t="shared" si="1"/>
        <v>0</v>
      </c>
      <c r="H143" s="452">
        <f t="shared" si="2"/>
        <v>0</v>
      </c>
      <c r="I143" s="453">
        <f t="shared" si="3"/>
        <v>0</v>
      </c>
    </row>
    <row r="144" spans="1:9" s="12" customFormat="1" ht="15.75" hidden="1">
      <c r="A144" s="381"/>
      <c r="B144" s="381"/>
      <c r="C144" s="381"/>
      <c r="D144" s="381"/>
      <c r="E144" s="388">
        <v>12</v>
      </c>
      <c r="F144" s="454">
        <f t="shared" si="0"/>
        <v>0</v>
      </c>
      <c r="G144" s="454">
        <f t="shared" si="1"/>
        <v>0</v>
      </c>
      <c r="H144" s="454">
        <f t="shared" si="2"/>
        <v>0</v>
      </c>
      <c r="I144" s="455">
        <f t="shared" si="3"/>
        <v>0</v>
      </c>
    </row>
    <row r="145" spans="1:9" s="12" customFormat="1" ht="15" hidden="1">
      <c r="A145" s="460" t="s">
        <v>144</v>
      </c>
      <c r="B145" s="460"/>
      <c r="C145" s="460"/>
      <c r="D145" s="460"/>
      <c r="E145" s="396">
        <v>0</v>
      </c>
      <c r="F145" s="458">
        <f t="shared" si="0"/>
        <v>0</v>
      </c>
      <c r="G145" s="458">
        <f t="shared" si="1"/>
        <v>0</v>
      </c>
      <c r="H145" s="458">
        <f t="shared" si="2"/>
        <v>0</v>
      </c>
      <c r="I145" s="459">
        <f t="shared" si="3"/>
        <v>0</v>
      </c>
    </row>
    <row r="146" spans="1:9" s="12" customFormat="1" ht="15" hidden="1">
      <c r="A146" s="460"/>
      <c r="B146" s="460"/>
      <c r="C146" s="460"/>
      <c r="D146" s="460"/>
      <c r="E146" s="385">
        <v>1</v>
      </c>
      <c r="F146" s="452">
        <f t="shared" si="0"/>
        <v>0</v>
      </c>
      <c r="G146" s="452">
        <f t="shared" si="1"/>
        <v>0</v>
      </c>
      <c r="H146" s="452">
        <f t="shared" si="2"/>
        <v>0</v>
      </c>
      <c r="I146" s="453">
        <f t="shared" si="3"/>
        <v>0</v>
      </c>
    </row>
    <row r="147" spans="1:9" s="12" customFormat="1" ht="15" hidden="1">
      <c r="A147" s="460"/>
      <c r="B147" s="460"/>
      <c r="C147" s="460"/>
      <c r="D147" s="460"/>
      <c r="E147" s="385">
        <v>2</v>
      </c>
      <c r="F147" s="452">
        <f t="shared" si="0"/>
        <v>0</v>
      </c>
      <c r="G147" s="452">
        <f t="shared" si="1"/>
        <v>0</v>
      </c>
      <c r="H147" s="452">
        <f t="shared" si="2"/>
        <v>0</v>
      </c>
      <c r="I147" s="453">
        <f t="shared" si="3"/>
        <v>0</v>
      </c>
    </row>
    <row r="148" spans="1:9" s="12" customFormat="1" ht="15" hidden="1">
      <c r="A148" s="460"/>
      <c r="B148" s="460"/>
      <c r="C148" s="460"/>
      <c r="D148" s="460"/>
      <c r="E148" s="385">
        <v>3</v>
      </c>
      <c r="F148" s="452">
        <f t="shared" si="0"/>
        <v>0</v>
      </c>
      <c r="G148" s="452">
        <f t="shared" si="1"/>
        <v>0</v>
      </c>
      <c r="H148" s="452">
        <f t="shared" si="2"/>
        <v>0</v>
      </c>
      <c r="I148" s="453">
        <f t="shared" si="3"/>
        <v>0</v>
      </c>
    </row>
    <row r="149" spans="1:9" s="12" customFormat="1" ht="15" hidden="1">
      <c r="A149" s="460"/>
      <c r="B149" s="460"/>
      <c r="C149" s="460"/>
      <c r="D149" s="460"/>
      <c r="E149" s="385">
        <v>4</v>
      </c>
      <c r="F149" s="452">
        <f t="shared" si="0"/>
        <v>0</v>
      </c>
      <c r="G149" s="452">
        <f t="shared" si="1"/>
        <v>0</v>
      </c>
      <c r="H149" s="452">
        <f t="shared" si="2"/>
        <v>0</v>
      </c>
      <c r="I149" s="453">
        <f t="shared" si="3"/>
        <v>0</v>
      </c>
    </row>
    <row r="150" spans="1:9" s="12" customFormat="1" ht="15" hidden="1">
      <c r="A150" s="460"/>
      <c r="B150" s="460"/>
      <c r="C150" s="460"/>
      <c r="D150" s="460"/>
      <c r="E150" s="385">
        <v>5</v>
      </c>
      <c r="F150" s="452">
        <f t="shared" si="0"/>
        <v>0</v>
      </c>
      <c r="G150" s="452">
        <f t="shared" si="1"/>
        <v>0</v>
      </c>
      <c r="H150" s="452">
        <f t="shared" si="2"/>
        <v>0</v>
      </c>
      <c r="I150" s="453">
        <f t="shared" si="3"/>
        <v>0</v>
      </c>
    </row>
    <row r="151" spans="1:9" s="12" customFormat="1" ht="15" hidden="1">
      <c r="A151" s="460"/>
      <c r="B151" s="460"/>
      <c r="C151" s="460"/>
      <c r="D151" s="460"/>
      <c r="E151" s="385">
        <v>6</v>
      </c>
      <c r="F151" s="452">
        <f t="shared" si="0"/>
        <v>0</v>
      </c>
      <c r="G151" s="452">
        <f t="shared" si="1"/>
        <v>0</v>
      </c>
      <c r="H151" s="452">
        <f t="shared" si="2"/>
        <v>0</v>
      </c>
      <c r="I151" s="453">
        <f t="shared" si="3"/>
        <v>0</v>
      </c>
    </row>
    <row r="152" spans="1:9" s="12" customFormat="1" ht="15" hidden="1">
      <c r="A152" s="460"/>
      <c r="B152" s="460"/>
      <c r="C152" s="460"/>
      <c r="D152" s="460"/>
      <c r="E152" s="385">
        <v>7</v>
      </c>
      <c r="F152" s="452">
        <f t="shared" si="0"/>
        <v>0</v>
      </c>
      <c r="G152" s="452">
        <f t="shared" si="1"/>
        <v>0</v>
      </c>
      <c r="H152" s="452">
        <f t="shared" si="2"/>
        <v>0</v>
      </c>
      <c r="I152" s="453">
        <f t="shared" si="3"/>
        <v>0</v>
      </c>
    </row>
    <row r="153" spans="1:9" s="12" customFormat="1" ht="15" hidden="1">
      <c r="A153" s="460"/>
      <c r="B153" s="460"/>
      <c r="C153" s="460"/>
      <c r="D153" s="460"/>
      <c r="E153" s="385">
        <v>8</v>
      </c>
      <c r="F153" s="452">
        <f t="shared" si="0"/>
        <v>0</v>
      </c>
      <c r="G153" s="452">
        <f t="shared" si="1"/>
        <v>0</v>
      </c>
      <c r="H153" s="452">
        <f t="shared" si="2"/>
        <v>0</v>
      </c>
      <c r="I153" s="453">
        <f t="shared" si="3"/>
        <v>0</v>
      </c>
    </row>
    <row r="154" spans="1:9" s="12" customFormat="1" ht="15" hidden="1">
      <c r="A154" s="460"/>
      <c r="B154" s="460"/>
      <c r="C154" s="460"/>
      <c r="D154" s="460"/>
      <c r="E154" s="385">
        <v>9</v>
      </c>
      <c r="F154" s="452">
        <f t="shared" si="0"/>
        <v>0</v>
      </c>
      <c r="G154" s="452">
        <f t="shared" si="1"/>
        <v>0</v>
      </c>
      <c r="H154" s="452">
        <f t="shared" si="2"/>
        <v>0</v>
      </c>
      <c r="I154" s="453">
        <f t="shared" si="3"/>
        <v>0</v>
      </c>
    </row>
    <row r="155" spans="1:9" s="12" customFormat="1" ht="15" hidden="1">
      <c r="A155" s="460"/>
      <c r="B155" s="460"/>
      <c r="C155" s="460"/>
      <c r="D155" s="460"/>
      <c r="E155" s="385">
        <v>10</v>
      </c>
      <c r="F155" s="452">
        <f t="shared" si="0"/>
        <v>0</v>
      </c>
      <c r="G155" s="452">
        <f t="shared" si="1"/>
        <v>0</v>
      </c>
      <c r="H155" s="452">
        <f t="shared" si="2"/>
        <v>0</v>
      </c>
      <c r="I155" s="453">
        <f t="shared" si="3"/>
        <v>0</v>
      </c>
    </row>
    <row r="156" spans="1:9" s="12" customFormat="1" ht="15" hidden="1">
      <c r="A156" s="460"/>
      <c r="B156" s="460"/>
      <c r="C156" s="460"/>
      <c r="D156" s="460"/>
      <c r="E156" s="385">
        <v>11</v>
      </c>
      <c r="F156" s="452">
        <f t="shared" si="0"/>
        <v>0</v>
      </c>
      <c r="G156" s="452">
        <f t="shared" si="1"/>
        <v>0</v>
      </c>
      <c r="H156" s="452">
        <f t="shared" si="2"/>
        <v>0</v>
      </c>
      <c r="I156" s="453">
        <f t="shared" si="3"/>
        <v>0</v>
      </c>
    </row>
    <row r="157" spans="1:9" s="12" customFormat="1" ht="15.75" hidden="1">
      <c r="A157" s="460"/>
      <c r="B157" s="460"/>
      <c r="C157" s="460"/>
      <c r="D157" s="460"/>
      <c r="E157" s="388">
        <v>12</v>
      </c>
      <c r="F157" s="454">
        <f t="shared" si="0"/>
        <v>0</v>
      </c>
      <c r="G157" s="454">
        <f t="shared" si="1"/>
        <v>0</v>
      </c>
      <c r="H157" s="454">
        <f t="shared" si="2"/>
        <v>0</v>
      </c>
      <c r="I157" s="455">
        <f t="shared" si="3"/>
        <v>0</v>
      </c>
    </row>
    <row r="159" spans="1:2" ht="15">
      <c r="A159" s="103" t="s">
        <v>684</v>
      </c>
      <c r="B159" s="48" t="s">
        <v>683</v>
      </c>
    </row>
    <row r="160" spans="1:9" ht="15">
      <c r="A160" s="119" t="s">
        <v>150</v>
      </c>
      <c r="B160" s="119"/>
      <c r="C160" s="119"/>
      <c r="D160" s="119"/>
      <c r="E160" s="119" t="s">
        <v>158</v>
      </c>
      <c r="F160" s="119" t="s">
        <v>151</v>
      </c>
      <c r="G160" s="119"/>
      <c r="H160" s="119" t="s">
        <v>152</v>
      </c>
      <c r="I160" s="119"/>
    </row>
    <row r="161" spans="1:9" ht="15">
      <c r="A161" s="119"/>
      <c r="B161" s="119"/>
      <c r="C161" s="119"/>
      <c r="D161" s="119"/>
      <c r="E161" s="119"/>
      <c r="F161" s="399" t="s">
        <v>153</v>
      </c>
      <c r="G161" s="399" t="s">
        <v>154</v>
      </c>
      <c r="H161" s="399" t="s">
        <v>153</v>
      </c>
      <c r="I161" s="399" t="s">
        <v>154</v>
      </c>
    </row>
    <row r="162" spans="1:9" ht="15" hidden="1">
      <c r="A162" s="381" t="s">
        <v>159</v>
      </c>
      <c r="B162" s="381"/>
      <c r="C162" s="381"/>
      <c r="D162" s="381"/>
      <c r="E162" s="461">
        <v>0</v>
      </c>
      <c r="F162" s="462">
        <f>SUM(F91:F96)*'2.1.b Veículos'!D6</f>
        <v>0</v>
      </c>
      <c r="G162" s="463">
        <f>SUM(G91:G96)*'2.1.b Veículos'!E6</f>
        <v>0</v>
      </c>
      <c r="H162" s="463">
        <f>SUM(H91:H96)*'2.1.b Veículos'!F6</f>
        <v>0</v>
      </c>
      <c r="I162" s="464">
        <f>SUM(I91:I96)*'2.1.b Veículos'!G6</f>
        <v>0</v>
      </c>
    </row>
    <row r="163" spans="1:9" ht="15" hidden="1">
      <c r="A163" s="381"/>
      <c r="B163" s="381"/>
      <c r="C163" s="381"/>
      <c r="D163" s="381"/>
      <c r="E163" s="465">
        <v>1</v>
      </c>
      <c r="F163" s="462"/>
      <c r="G163" s="463"/>
      <c r="H163" s="463"/>
      <c r="I163" s="464"/>
    </row>
    <row r="164" spans="1:9" ht="15" hidden="1">
      <c r="A164" s="381"/>
      <c r="B164" s="381"/>
      <c r="C164" s="381"/>
      <c r="D164" s="381"/>
      <c r="E164" s="465">
        <v>2</v>
      </c>
      <c r="F164" s="462"/>
      <c r="G164" s="463"/>
      <c r="H164" s="463"/>
      <c r="I164" s="464"/>
    </row>
    <row r="165" spans="1:9" ht="15" hidden="1">
      <c r="A165" s="381"/>
      <c r="B165" s="381"/>
      <c r="C165" s="381"/>
      <c r="D165" s="381"/>
      <c r="E165" s="465">
        <v>3</v>
      </c>
      <c r="F165" s="462"/>
      <c r="G165" s="463"/>
      <c r="H165" s="463"/>
      <c r="I165" s="464"/>
    </row>
    <row r="166" spans="1:9" ht="15" hidden="1">
      <c r="A166" s="381"/>
      <c r="B166" s="381"/>
      <c r="C166" s="381"/>
      <c r="D166" s="381"/>
      <c r="E166" s="465">
        <v>4</v>
      </c>
      <c r="F166" s="462"/>
      <c r="G166" s="463"/>
      <c r="H166" s="463"/>
      <c r="I166" s="464"/>
    </row>
    <row r="167" spans="1:9" ht="15.75" hidden="1">
      <c r="A167" s="381"/>
      <c r="B167" s="381"/>
      <c r="C167" s="381"/>
      <c r="D167" s="381"/>
      <c r="E167" s="466">
        <v>5</v>
      </c>
      <c r="F167" s="462"/>
      <c r="G167" s="463"/>
      <c r="H167" s="463"/>
      <c r="I167" s="464"/>
    </row>
    <row r="168" spans="1:9" ht="15" hidden="1">
      <c r="A168" s="391" t="s">
        <v>126</v>
      </c>
      <c r="B168" s="391"/>
      <c r="C168" s="391"/>
      <c r="D168" s="391"/>
      <c r="E168" s="461">
        <v>0</v>
      </c>
      <c r="F168" s="467">
        <f>SUM(F97:F102)*'2.1.b Veículos'!D7</f>
        <v>0</v>
      </c>
      <c r="G168" s="468">
        <f>SUM(G97:G102)*'2.1.b Veículos'!E7</f>
        <v>0</v>
      </c>
      <c r="H168" s="468">
        <f>SUM(H97:H102)*'2.1.b Veículos'!F7</f>
        <v>0</v>
      </c>
      <c r="I168" s="469">
        <f>SUM(I97:I102)*'2.1.b Veículos'!G7</f>
        <v>0</v>
      </c>
    </row>
    <row r="169" spans="1:9" ht="15" hidden="1">
      <c r="A169" s="391"/>
      <c r="B169" s="391"/>
      <c r="C169" s="391"/>
      <c r="D169" s="391"/>
      <c r="E169" s="465">
        <v>1</v>
      </c>
      <c r="F169" s="467"/>
      <c r="G169" s="468"/>
      <c r="H169" s="468"/>
      <c r="I169" s="469"/>
    </row>
    <row r="170" spans="1:9" ht="15" hidden="1">
      <c r="A170" s="391"/>
      <c r="B170" s="391"/>
      <c r="C170" s="391"/>
      <c r="D170" s="391"/>
      <c r="E170" s="465">
        <v>2</v>
      </c>
      <c r="F170" s="467"/>
      <c r="G170" s="468"/>
      <c r="H170" s="468"/>
      <c r="I170" s="469"/>
    </row>
    <row r="171" spans="1:9" ht="15" hidden="1">
      <c r="A171" s="391"/>
      <c r="B171" s="391"/>
      <c r="C171" s="391"/>
      <c r="D171" s="391"/>
      <c r="E171" s="465">
        <v>3</v>
      </c>
      <c r="F171" s="467"/>
      <c r="G171" s="468"/>
      <c r="H171" s="468"/>
      <c r="I171" s="469"/>
    </row>
    <row r="172" spans="1:9" ht="15" hidden="1">
      <c r="A172" s="391"/>
      <c r="B172" s="391"/>
      <c r="C172" s="391"/>
      <c r="D172" s="391"/>
      <c r="E172" s="465">
        <v>4</v>
      </c>
      <c r="F172" s="467"/>
      <c r="G172" s="468"/>
      <c r="H172" s="468"/>
      <c r="I172" s="469"/>
    </row>
    <row r="173" spans="1:9" ht="15.75" hidden="1">
      <c r="A173" s="391"/>
      <c r="B173" s="391"/>
      <c r="C173" s="391"/>
      <c r="D173" s="391"/>
      <c r="E173" s="470">
        <v>5</v>
      </c>
      <c r="F173" s="467"/>
      <c r="G173" s="468"/>
      <c r="H173" s="468"/>
      <c r="I173" s="469"/>
    </row>
    <row r="174" spans="1:9" ht="15" hidden="1">
      <c r="A174" s="381" t="s">
        <v>130</v>
      </c>
      <c r="B174" s="381"/>
      <c r="C174" s="381"/>
      <c r="D174" s="381"/>
      <c r="E174" s="382">
        <v>0</v>
      </c>
      <c r="F174" s="463">
        <f>SUM(F103:F111)*'2.1.b Veículos'!D8</f>
        <v>0</v>
      </c>
      <c r="G174" s="463">
        <f>SUM(G103:G111)*'2.1.b Veículos'!E8</f>
        <v>0</v>
      </c>
      <c r="H174" s="463">
        <f>SUM(H103:H111)*'2.1.b Veículos'!F8</f>
        <v>0</v>
      </c>
      <c r="I174" s="464">
        <f>SUM(I103:I111)*'2.1.b Veículos'!G8</f>
        <v>0</v>
      </c>
    </row>
    <row r="175" spans="1:9" ht="15" hidden="1">
      <c r="A175" s="381"/>
      <c r="B175" s="381"/>
      <c r="C175" s="381"/>
      <c r="D175" s="381"/>
      <c r="E175" s="385">
        <v>1</v>
      </c>
      <c r="F175" s="463"/>
      <c r="G175" s="463"/>
      <c r="H175" s="463"/>
      <c r="I175" s="464"/>
    </row>
    <row r="176" spans="1:9" ht="15" hidden="1">
      <c r="A176" s="381"/>
      <c r="B176" s="381"/>
      <c r="C176" s="381"/>
      <c r="D176" s="381"/>
      <c r="E176" s="385">
        <v>2</v>
      </c>
      <c r="F176" s="463"/>
      <c r="G176" s="463"/>
      <c r="H176" s="463"/>
      <c r="I176" s="464"/>
    </row>
    <row r="177" spans="1:9" ht="15" hidden="1">
      <c r="A177" s="381"/>
      <c r="B177" s="381"/>
      <c r="C177" s="381"/>
      <c r="D177" s="381"/>
      <c r="E177" s="385">
        <v>3</v>
      </c>
      <c r="F177" s="463"/>
      <c r="G177" s="463"/>
      <c r="H177" s="463"/>
      <c r="I177" s="464"/>
    </row>
    <row r="178" spans="1:9" ht="15" hidden="1">
      <c r="A178" s="381"/>
      <c r="B178" s="381"/>
      <c r="C178" s="381"/>
      <c r="D178" s="381"/>
      <c r="E178" s="385">
        <v>4</v>
      </c>
      <c r="F178" s="463"/>
      <c r="G178" s="463"/>
      <c r="H178" s="463"/>
      <c r="I178" s="464"/>
    </row>
    <row r="179" spans="1:9" ht="15" hidden="1">
      <c r="A179" s="381"/>
      <c r="B179" s="381"/>
      <c r="C179" s="381"/>
      <c r="D179" s="381"/>
      <c r="E179" s="385">
        <v>5</v>
      </c>
      <c r="F179" s="463"/>
      <c r="G179" s="463"/>
      <c r="H179" s="463"/>
      <c r="I179" s="464"/>
    </row>
    <row r="180" spans="1:9" ht="15" hidden="1">
      <c r="A180" s="381"/>
      <c r="B180" s="381"/>
      <c r="C180" s="381"/>
      <c r="D180" s="381"/>
      <c r="E180" s="385">
        <v>6</v>
      </c>
      <c r="F180" s="463"/>
      <c r="G180" s="463"/>
      <c r="H180" s="463"/>
      <c r="I180" s="464"/>
    </row>
    <row r="181" spans="1:9" ht="15" hidden="1">
      <c r="A181" s="381"/>
      <c r="B181" s="381"/>
      <c r="C181" s="381"/>
      <c r="D181" s="381"/>
      <c r="E181" s="385">
        <v>7</v>
      </c>
      <c r="F181" s="463"/>
      <c r="G181" s="463"/>
      <c r="H181" s="463"/>
      <c r="I181" s="464"/>
    </row>
    <row r="182" spans="1:9" ht="15.75" hidden="1">
      <c r="A182" s="381"/>
      <c r="B182" s="381"/>
      <c r="C182" s="381"/>
      <c r="D182" s="381"/>
      <c r="E182" s="388">
        <v>8</v>
      </c>
      <c r="F182" s="463"/>
      <c r="G182" s="463"/>
      <c r="H182" s="463"/>
      <c r="I182" s="464"/>
    </row>
    <row r="183" spans="1:9" ht="15">
      <c r="A183" s="443" t="s">
        <v>134</v>
      </c>
      <c r="B183" s="443"/>
      <c r="C183" s="443"/>
      <c r="D183" s="443"/>
      <c r="E183" s="396">
        <v>0</v>
      </c>
      <c r="F183" s="471">
        <f>SUM(F112:F120)*'2.1.b Veículos'!D9</f>
        <v>903000.0000000003</v>
      </c>
      <c r="G183" s="471">
        <f>SUM(G112:G120)*'2.1.b Veículos'!E9</f>
        <v>0</v>
      </c>
      <c r="H183" s="471">
        <f>SUM(H112:H120)*'2.1.b Veículos'!F9</f>
        <v>372880</v>
      </c>
      <c r="I183" s="472">
        <f>SUM(I112:I120)*'2.1.b Veículos'!G9</f>
        <v>0</v>
      </c>
    </row>
    <row r="184" spans="1:9" ht="15">
      <c r="A184" s="443"/>
      <c r="B184" s="443"/>
      <c r="C184" s="443"/>
      <c r="D184" s="443"/>
      <c r="E184" s="385">
        <v>1</v>
      </c>
      <c r="F184" s="471"/>
      <c r="G184" s="471"/>
      <c r="H184" s="471"/>
      <c r="I184" s="472"/>
    </row>
    <row r="185" spans="1:9" ht="15">
      <c r="A185" s="443"/>
      <c r="B185" s="443"/>
      <c r="C185" s="443"/>
      <c r="D185" s="443"/>
      <c r="E185" s="385">
        <v>2</v>
      </c>
      <c r="F185" s="471"/>
      <c r="G185" s="471"/>
      <c r="H185" s="471"/>
      <c r="I185" s="472"/>
    </row>
    <row r="186" spans="1:9" ht="15">
      <c r="A186" s="443"/>
      <c r="B186" s="443"/>
      <c r="C186" s="443"/>
      <c r="D186" s="443"/>
      <c r="E186" s="385">
        <v>3</v>
      </c>
      <c r="F186" s="471"/>
      <c r="G186" s="471"/>
      <c r="H186" s="471"/>
      <c r="I186" s="472"/>
    </row>
    <row r="187" spans="1:9" ht="15">
      <c r="A187" s="443"/>
      <c r="B187" s="443"/>
      <c r="C187" s="443"/>
      <c r="D187" s="443"/>
      <c r="E187" s="385">
        <v>4</v>
      </c>
      <c r="F187" s="471"/>
      <c r="G187" s="471"/>
      <c r="H187" s="471"/>
      <c r="I187" s="472"/>
    </row>
    <row r="188" spans="1:9" ht="15">
      <c r="A188" s="443"/>
      <c r="B188" s="443"/>
      <c r="C188" s="443"/>
      <c r="D188" s="443"/>
      <c r="E188" s="385">
        <v>5</v>
      </c>
      <c r="F188" s="471"/>
      <c r="G188" s="471"/>
      <c r="H188" s="471"/>
      <c r="I188" s="472"/>
    </row>
    <row r="189" spans="1:9" ht="15">
      <c r="A189" s="443"/>
      <c r="B189" s="443"/>
      <c r="C189" s="443"/>
      <c r="D189" s="443"/>
      <c r="E189" s="385">
        <v>6</v>
      </c>
      <c r="F189" s="471"/>
      <c r="G189" s="471"/>
      <c r="H189" s="471"/>
      <c r="I189" s="472"/>
    </row>
    <row r="190" spans="1:9" ht="15">
      <c r="A190" s="443"/>
      <c r="B190" s="443"/>
      <c r="C190" s="443"/>
      <c r="D190" s="443"/>
      <c r="E190" s="385">
        <v>7</v>
      </c>
      <c r="F190" s="471"/>
      <c r="G190" s="471"/>
      <c r="H190" s="471"/>
      <c r="I190" s="472"/>
    </row>
    <row r="191" spans="1:9" ht="15.75">
      <c r="A191" s="443"/>
      <c r="B191" s="443"/>
      <c r="C191" s="443"/>
      <c r="D191" s="443"/>
      <c r="E191" s="388">
        <v>8</v>
      </c>
      <c r="F191" s="471"/>
      <c r="G191" s="471"/>
      <c r="H191" s="471"/>
      <c r="I191" s="472"/>
    </row>
    <row r="192" spans="1:9" ht="15" hidden="1">
      <c r="A192" s="395" t="s">
        <v>138</v>
      </c>
      <c r="B192" s="395"/>
      <c r="C192" s="395"/>
      <c r="D192" s="395"/>
      <c r="E192" s="473">
        <v>0</v>
      </c>
      <c r="F192" s="474">
        <f>SUM(F121:F131)*'2.1.b Veículos'!D10</f>
        <v>0</v>
      </c>
      <c r="G192" s="475">
        <f>SUM(G121:G131)*'2.1.b Veículos'!E10</f>
        <v>0</v>
      </c>
      <c r="H192" s="475">
        <f>SUM(H121:H131)*'2.1.b Veículos'!F10</f>
        <v>0</v>
      </c>
      <c r="I192" s="476">
        <f>SUM(I121:I131)*'2.1.b Veículos'!G10</f>
        <v>0</v>
      </c>
    </row>
    <row r="193" spans="1:9" ht="15" hidden="1">
      <c r="A193" s="395"/>
      <c r="B193" s="395"/>
      <c r="C193" s="395"/>
      <c r="D193" s="395"/>
      <c r="E193" s="465">
        <v>1</v>
      </c>
      <c r="F193" s="474"/>
      <c r="G193" s="475"/>
      <c r="H193" s="475"/>
      <c r="I193" s="476"/>
    </row>
    <row r="194" spans="1:9" ht="15" hidden="1">
      <c r="A194" s="395"/>
      <c r="B194" s="395"/>
      <c r="C194" s="395"/>
      <c r="D194" s="395"/>
      <c r="E194" s="465">
        <v>2</v>
      </c>
      <c r="F194" s="474"/>
      <c r="G194" s="475"/>
      <c r="H194" s="475"/>
      <c r="I194" s="476"/>
    </row>
    <row r="195" spans="1:9" ht="15" hidden="1">
      <c r="A195" s="395"/>
      <c r="B195" s="395"/>
      <c r="C195" s="395"/>
      <c r="D195" s="395"/>
      <c r="E195" s="465">
        <v>3</v>
      </c>
      <c r="F195" s="474"/>
      <c r="G195" s="475"/>
      <c r="H195" s="475"/>
      <c r="I195" s="476"/>
    </row>
    <row r="196" spans="1:9" ht="15" hidden="1">
      <c r="A196" s="395"/>
      <c r="B196" s="395"/>
      <c r="C196" s="395"/>
      <c r="D196" s="395"/>
      <c r="E196" s="465">
        <v>4</v>
      </c>
      <c r="F196" s="474"/>
      <c r="G196" s="475"/>
      <c r="H196" s="475"/>
      <c r="I196" s="476"/>
    </row>
    <row r="197" spans="1:9" ht="15" hidden="1">
      <c r="A197" s="395"/>
      <c r="B197" s="395"/>
      <c r="C197" s="395"/>
      <c r="D197" s="395"/>
      <c r="E197" s="465">
        <v>5</v>
      </c>
      <c r="F197" s="474"/>
      <c r="G197" s="475"/>
      <c r="H197" s="475"/>
      <c r="I197" s="476"/>
    </row>
    <row r="198" spans="1:9" ht="15" hidden="1">
      <c r="A198" s="395"/>
      <c r="B198" s="395"/>
      <c r="C198" s="395"/>
      <c r="D198" s="395"/>
      <c r="E198" s="465">
        <v>6</v>
      </c>
      <c r="F198" s="474"/>
      <c r="G198" s="475"/>
      <c r="H198" s="475"/>
      <c r="I198" s="476"/>
    </row>
    <row r="199" spans="1:9" ht="15" hidden="1">
      <c r="A199" s="395"/>
      <c r="B199" s="395"/>
      <c r="C199" s="395"/>
      <c r="D199" s="395"/>
      <c r="E199" s="465">
        <v>7</v>
      </c>
      <c r="F199" s="474"/>
      <c r="G199" s="475"/>
      <c r="H199" s="475"/>
      <c r="I199" s="476"/>
    </row>
    <row r="200" spans="1:9" ht="15" hidden="1">
      <c r="A200" s="395"/>
      <c r="B200" s="395"/>
      <c r="C200" s="395"/>
      <c r="D200" s="395"/>
      <c r="E200" s="465">
        <v>8</v>
      </c>
      <c r="F200" s="474"/>
      <c r="G200" s="475"/>
      <c r="H200" s="475"/>
      <c r="I200" s="476"/>
    </row>
    <row r="201" spans="1:9" ht="15" hidden="1">
      <c r="A201" s="395"/>
      <c r="B201" s="395"/>
      <c r="C201" s="395"/>
      <c r="D201" s="395"/>
      <c r="E201" s="465">
        <v>9</v>
      </c>
      <c r="F201" s="474"/>
      <c r="G201" s="475"/>
      <c r="H201" s="475"/>
      <c r="I201" s="476"/>
    </row>
    <row r="202" spans="1:9" ht="15.75" hidden="1">
      <c r="A202" s="395"/>
      <c r="B202" s="395"/>
      <c r="C202" s="395"/>
      <c r="D202" s="395"/>
      <c r="E202" s="470">
        <v>10</v>
      </c>
      <c r="F202" s="474"/>
      <c r="G202" s="475"/>
      <c r="H202" s="475"/>
      <c r="I202" s="476"/>
    </row>
    <row r="203" spans="1:9" ht="15" hidden="1">
      <c r="A203" s="381" t="s">
        <v>140</v>
      </c>
      <c r="B203" s="381"/>
      <c r="C203" s="381"/>
      <c r="D203" s="381"/>
      <c r="E203" s="382">
        <v>0</v>
      </c>
      <c r="F203" s="477">
        <f>SUM(F132:F144)*'2.1.b Veículos'!D11</f>
        <v>0</v>
      </c>
      <c r="G203" s="463">
        <f>SUM(G132:G144)*'2.1.b Veículos'!E11</f>
        <v>0</v>
      </c>
      <c r="H203" s="463">
        <f>SUM(H132:H144)*'2.1.b Veículos'!F11</f>
        <v>0</v>
      </c>
      <c r="I203" s="464">
        <f>SUM(I132:I144)*'2.1.b Veículos'!G11</f>
        <v>0</v>
      </c>
    </row>
    <row r="204" spans="1:9" ht="15" hidden="1">
      <c r="A204" s="381"/>
      <c r="B204" s="381"/>
      <c r="C204" s="381"/>
      <c r="D204" s="381"/>
      <c r="E204" s="385">
        <v>1</v>
      </c>
      <c r="F204" s="477"/>
      <c r="G204" s="463"/>
      <c r="H204" s="463"/>
      <c r="I204" s="464"/>
    </row>
    <row r="205" spans="1:9" ht="15" hidden="1">
      <c r="A205" s="381"/>
      <c r="B205" s="381"/>
      <c r="C205" s="381"/>
      <c r="D205" s="381"/>
      <c r="E205" s="385">
        <v>2</v>
      </c>
      <c r="F205" s="477"/>
      <c r="G205" s="463"/>
      <c r="H205" s="463"/>
      <c r="I205" s="464"/>
    </row>
    <row r="206" spans="1:9" ht="15" hidden="1">
      <c r="A206" s="381"/>
      <c r="B206" s="381"/>
      <c r="C206" s="381"/>
      <c r="D206" s="381"/>
      <c r="E206" s="385">
        <v>3</v>
      </c>
      <c r="F206" s="477"/>
      <c r="G206" s="463"/>
      <c r="H206" s="463"/>
      <c r="I206" s="464"/>
    </row>
    <row r="207" spans="1:9" ht="15" hidden="1">
      <c r="A207" s="381"/>
      <c r="B207" s="381"/>
      <c r="C207" s="381"/>
      <c r="D207" s="381"/>
      <c r="E207" s="385">
        <v>4</v>
      </c>
      <c r="F207" s="477"/>
      <c r="G207" s="463"/>
      <c r="H207" s="463"/>
      <c r="I207" s="464"/>
    </row>
    <row r="208" spans="1:9" ht="15" hidden="1">
      <c r="A208" s="381"/>
      <c r="B208" s="381"/>
      <c r="C208" s="381"/>
      <c r="D208" s="381"/>
      <c r="E208" s="385">
        <v>5</v>
      </c>
      <c r="F208" s="477"/>
      <c r="G208" s="463"/>
      <c r="H208" s="463"/>
      <c r="I208" s="464"/>
    </row>
    <row r="209" spans="1:9" ht="15" hidden="1">
      <c r="A209" s="381"/>
      <c r="B209" s="381"/>
      <c r="C209" s="381"/>
      <c r="D209" s="381"/>
      <c r="E209" s="385">
        <v>6</v>
      </c>
      <c r="F209" s="477"/>
      <c r="G209" s="463"/>
      <c r="H209" s="463"/>
      <c r="I209" s="464"/>
    </row>
    <row r="210" spans="1:9" ht="15" hidden="1">
      <c r="A210" s="381"/>
      <c r="B210" s="381"/>
      <c r="C210" s="381"/>
      <c r="D210" s="381"/>
      <c r="E210" s="385">
        <v>7</v>
      </c>
      <c r="F210" s="477"/>
      <c r="G210" s="463"/>
      <c r="H210" s="463"/>
      <c r="I210" s="464"/>
    </row>
    <row r="211" spans="1:9" ht="15" hidden="1">
      <c r="A211" s="381"/>
      <c r="B211" s="381"/>
      <c r="C211" s="381"/>
      <c r="D211" s="381"/>
      <c r="E211" s="385">
        <v>8</v>
      </c>
      <c r="F211" s="477"/>
      <c r="G211" s="463"/>
      <c r="H211" s="463"/>
      <c r="I211" s="464"/>
    </row>
    <row r="212" spans="1:9" ht="15" hidden="1">
      <c r="A212" s="381"/>
      <c r="B212" s="381"/>
      <c r="C212" s="381"/>
      <c r="D212" s="381"/>
      <c r="E212" s="385">
        <v>9</v>
      </c>
      <c r="F212" s="477"/>
      <c r="G212" s="463"/>
      <c r="H212" s="463"/>
      <c r="I212" s="464"/>
    </row>
    <row r="213" spans="1:9" ht="15" hidden="1">
      <c r="A213" s="381"/>
      <c r="B213" s="381"/>
      <c r="C213" s="381"/>
      <c r="D213" s="381"/>
      <c r="E213" s="385">
        <v>10</v>
      </c>
      <c r="F213" s="477"/>
      <c r="G213" s="463"/>
      <c r="H213" s="463"/>
      <c r="I213" s="464"/>
    </row>
    <row r="214" spans="1:9" ht="15" hidden="1">
      <c r="A214" s="381"/>
      <c r="B214" s="381"/>
      <c r="C214" s="381"/>
      <c r="D214" s="381"/>
      <c r="E214" s="385">
        <v>11</v>
      </c>
      <c r="F214" s="477"/>
      <c r="G214" s="463"/>
      <c r="H214" s="463"/>
      <c r="I214" s="464"/>
    </row>
    <row r="215" spans="1:9" ht="15.75" hidden="1">
      <c r="A215" s="381"/>
      <c r="B215" s="381"/>
      <c r="C215" s="381"/>
      <c r="D215" s="381"/>
      <c r="E215" s="388">
        <v>12</v>
      </c>
      <c r="F215" s="477"/>
      <c r="G215" s="463"/>
      <c r="H215" s="463"/>
      <c r="I215" s="464"/>
    </row>
    <row r="216" spans="1:9" ht="15" hidden="1">
      <c r="A216" s="443" t="s">
        <v>144</v>
      </c>
      <c r="B216" s="443"/>
      <c r="C216" s="443"/>
      <c r="D216" s="443"/>
      <c r="E216" s="396">
        <v>0</v>
      </c>
      <c r="F216" s="471">
        <f>SUM(F145:F157)*'2.1.b Veículos'!D12</f>
        <v>0</v>
      </c>
      <c r="G216" s="471">
        <f>SUM(G145:G157)*'2.1.b Veículos'!E12</f>
        <v>0</v>
      </c>
      <c r="H216" s="471">
        <f>SUM(H145:H157)*'2.1.b Veículos'!F12</f>
        <v>0</v>
      </c>
      <c r="I216" s="472">
        <f>SUM(I145:I157)*'2.1.b Veículos'!G12</f>
        <v>0</v>
      </c>
    </row>
    <row r="217" spans="1:9" ht="15" hidden="1">
      <c r="A217" s="443"/>
      <c r="B217" s="443"/>
      <c r="C217" s="443"/>
      <c r="D217" s="443"/>
      <c r="E217" s="385">
        <v>1</v>
      </c>
      <c r="F217" s="471"/>
      <c r="G217" s="471"/>
      <c r="H217" s="471"/>
      <c r="I217" s="472"/>
    </row>
    <row r="218" spans="1:9" ht="15" hidden="1">
      <c r="A218" s="443"/>
      <c r="B218" s="443"/>
      <c r="C218" s="443"/>
      <c r="D218" s="443"/>
      <c r="E218" s="385">
        <v>2</v>
      </c>
      <c r="F218" s="471"/>
      <c r="G218" s="471"/>
      <c r="H218" s="471"/>
      <c r="I218" s="472"/>
    </row>
    <row r="219" spans="1:9" ht="15" hidden="1">
      <c r="A219" s="443"/>
      <c r="B219" s="443"/>
      <c r="C219" s="443"/>
      <c r="D219" s="443"/>
      <c r="E219" s="385">
        <v>3</v>
      </c>
      <c r="F219" s="471"/>
      <c r="G219" s="471"/>
      <c r="H219" s="471"/>
      <c r="I219" s="472"/>
    </row>
    <row r="220" spans="1:9" ht="15" hidden="1">
      <c r="A220" s="443"/>
      <c r="B220" s="443"/>
      <c r="C220" s="443"/>
      <c r="D220" s="443"/>
      <c r="E220" s="385">
        <v>4</v>
      </c>
      <c r="F220" s="471"/>
      <c r="G220" s="471"/>
      <c r="H220" s="471"/>
      <c r="I220" s="472"/>
    </row>
    <row r="221" spans="1:9" ht="15" hidden="1">
      <c r="A221" s="443"/>
      <c r="B221" s="443"/>
      <c r="C221" s="443"/>
      <c r="D221" s="443"/>
      <c r="E221" s="385">
        <v>5</v>
      </c>
      <c r="F221" s="471"/>
      <c r="G221" s="471"/>
      <c r="H221" s="471"/>
      <c r="I221" s="472"/>
    </row>
    <row r="222" spans="1:9" ht="15" hidden="1">
      <c r="A222" s="443"/>
      <c r="B222" s="443"/>
      <c r="C222" s="443"/>
      <c r="D222" s="443"/>
      <c r="E222" s="385">
        <v>6</v>
      </c>
      <c r="F222" s="471"/>
      <c r="G222" s="471"/>
      <c r="H222" s="471"/>
      <c r="I222" s="472"/>
    </row>
    <row r="223" spans="1:9" ht="15" hidden="1">
      <c r="A223" s="443"/>
      <c r="B223" s="443"/>
      <c r="C223" s="443"/>
      <c r="D223" s="443"/>
      <c r="E223" s="385">
        <v>7</v>
      </c>
      <c r="F223" s="471"/>
      <c r="G223" s="471"/>
      <c r="H223" s="471"/>
      <c r="I223" s="472"/>
    </row>
    <row r="224" spans="1:9" ht="15" hidden="1">
      <c r="A224" s="443"/>
      <c r="B224" s="443"/>
      <c r="C224" s="443"/>
      <c r="D224" s="443"/>
      <c r="E224" s="385">
        <v>8</v>
      </c>
      <c r="F224" s="471"/>
      <c r="G224" s="471"/>
      <c r="H224" s="471"/>
      <c r="I224" s="472"/>
    </row>
    <row r="225" spans="1:9" ht="15" hidden="1">
      <c r="A225" s="443"/>
      <c r="B225" s="443"/>
      <c r="C225" s="443"/>
      <c r="D225" s="443"/>
      <c r="E225" s="385">
        <v>9</v>
      </c>
      <c r="F225" s="471"/>
      <c r="G225" s="471"/>
      <c r="H225" s="471"/>
      <c r="I225" s="472"/>
    </row>
    <row r="226" spans="1:9" ht="15" hidden="1">
      <c r="A226" s="443"/>
      <c r="B226" s="443"/>
      <c r="C226" s="443"/>
      <c r="D226" s="443"/>
      <c r="E226" s="385">
        <v>10</v>
      </c>
      <c r="F226" s="471"/>
      <c r="G226" s="471"/>
      <c r="H226" s="471"/>
      <c r="I226" s="472"/>
    </row>
    <row r="227" spans="1:9" ht="15" hidden="1">
      <c r="A227" s="443"/>
      <c r="B227" s="443"/>
      <c r="C227" s="443"/>
      <c r="D227" s="443"/>
      <c r="E227" s="385">
        <v>11</v>
      </c>
      <c r="F227" s="471"/>
      <c r="G227" s="471"/>
      <c r="H227" s="471"/>
      <c r="I227" s="472"/>
    </row>
    <row r="228" spans="1:9" ht="15.75" hidden="1">
      <c r="A228" s="443"/>
      <c r="B228" s="443"/>
      <c r="C228" s="443"/>
      <c r="D228" s="443"/>
      <c r="E228" s="388">
        <v>12</v>
      </c>
      <c r="F228" s="471"/>
      <c r="G228" s="471"/>
      <c r="H228" s="471"/>
      <c r="I228" s="472"/>
    </row>
    <row r="230" spans="1:2" ht="15">
      <c r="A230" s="103" t="s">
        <v>685</v>
      </c>
      <c r="B230" s="48" t="s">
        <v>686</v>
      </c>
    </row>
    <row r="231" spans="1:7" ht="21">
      <c r="A231" s="420" t="s">
        <v>687</v>
      </c>
      <c r="B231" s="420"/>
      <c r="C231" s="420"/>
      <c r="D231" s="420"/>
      <c r="E231" s="420"/>
      <c r="F231" s="420"/>
      <c r="G231" s="137">
        <f>SUM(F162:I226)*('2.1.c Insumos'!F68/100)/12</f>
        <v>882.4836666666669</v>
      </c>
    </row>
  </sheetData>
  <sheetProtection selectLockedCells="1" selectUnlockedCells="1"/>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pageMargins left="0.7875" right="0.7875" top="0.9840277777777778" bottom="0.9840277777777778"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sheetPr>
    <tabColor indexed="22"/>
  </sheetPr>
  <dimension ref="A1:L20"/>
  <sheetViews>
    <sheetView workbookViewId="0" topLeftCell="A13">
      <selection activeCell="F17" sqref="F17"/>
    </sheetView>
  </sheetViews>
  <sheetFormatPr defaultColWidth="9.140625" defaultRowHeight="12.75"/>
  <cols>
    <col min="1" max="3" width="9.140625" style="0" customWidth="1"/>
    <col min="4" max="4" width="15.421875" style="0" customWidth="1"/>
    <col min="5" max="5" width="14.140625" style="0" customWidth="1"/>
    <col min="6" max="6" width="15.421875" style="0" customWidth="1"/>
    <col min="7" max="7" width="28.7109375" style="0" customWidth="1"/>
  </cols>
  <sheetData>
    <row r="1" spans="1:11" ht="15">
      <c r="A1" s="90" t="s">
        <v>676</v>
      </c>
      <c r="E1" s="12"/>
      <c r="F1" s="12"/>
      <c r="G1" s="12"/>
      <c r="H1" s="12"/>
      <c r="I1" s="12"/>
      <c r="J1" s="12"/>
      <c r="K1" s="12"/>
    </row>
    <row r="2" spans="1:11" ht="15.75">
      <c r="A2" s="48"/>
      <c r="B2" s="48"/>
      <c r="C2" s="12"/>
      <c r="D2" s="12"/>
      <c r="E2" s="12"/>
      <c r="F2" s="12"/>
      <c r="G2" s="12"/>
      <c r="H2" s="12"/>
      <c r="I2" s="12"/>
      <c r="J2" s="12"/>
      <c r="K2" s="12"/>
    </row>
    <row r="3" spans="1:12" ht="15.75">
      <c r="A3" s="103" t="s">
        <v>688</v>
      </c>
      <c r="B3" s="48" t="s">
        <v>689</v>
      </c>
      <c r="C3" s="12"/>
      <c r="D3" s="12"/>
      <c r="E3" s="12"/>
      <c r="F3" s="12"/>
      <c r="G3" s="12"/>
      <c r="H3" s="12"/>
      <c r="I3" s="15" t="s">
        <v>16</v>
      </c>
      <c r="J3" s="15"/>
      <c r="K3" s="15"/>
      <c r="L3" s="15"/>
    </row>
    <row r="4" spans="1:12" ht="15">
      <c r="A4" s="48"/>
      <c r="B4" s="48"/>
      <c r="C4" s="12"/>
      <c r="D4" s="12"/>
      <c r="E4" s="12"/>
      <c r="F4" s="12"/>
      <c r="G4" s="12"/>
      <c r="H4" s="12"/>
      <c r="I4" s="17"/>
      <c r="J4" s="18"/>
      <c r="K4" s="18"/>
      <c r="L4" s="19"/>
    </row>
    <row r="5" spans="1:12" ht="15">
      <c r="A5" s="103" t="s">
        <v>690</v>
      </c>
      <c r="B5" s="48" t="s">
        <v>691</v>
      </c>
      <c r="C5" s="12"/>
      <c r="D5" s="12"/>
      <c r="E5" s="12"/>
      <c r="F5" s="12"/>
      <c r="G5" s="12"/>
      <c r="I5" s="20"/>
      <c r="J5" s="21"/>
      <c r="K5" s="22" t="s">
        <v>18</v>
      </c>
      <c r="L5" s="23"/>
    </row>
    <row r="6" spans="1:12" ht="15">
      <c r="A6" s="48"/>
      <c r="B6" s="48"/>
      <c r="C6" s="12"/>
      <c r="D6" s="12"/>
      <c r="E6" s="12"/>
      <c r="F6" s="12"/>
      <c r="G6" s="12"/>
      <c r="I6" s="20"/>
      <c r="J6" s="27"/>
      <c r="K6" s="22" t="s">
        <v>20</v>
      </c>
      <c r="L6" s="23"/>
    </row>
    <row r="7" spans="1:12" ht="15.75">
      <c r="A7" s="478"/>
      <c r="B7" s="478"/>
      <c r="C7" s="478"/>
      <c r="D7" s="478"/>
      <c r="E7" s="479" t="s">
        <v>692</v>
      </c>
      <c r="F7" s="480" t="s">
        <v>693</v>
      </c>
      <c r="G7" s="12"/>
      <c r="I7" s="20"/>
      <c r="J7" s="28"/>
      <c r="K7" s="22" t="s">
        <v>22</v>
      </c>
      <c r="L7" s="23"/>
    </row>
    <row r="8" spans="1:12" ht="33.75" customHeight="1">
      <c r="A8" s="481" t="s">
        <v>694</v>
      </c>
      <c r="B8" s="481"/>
      <c r="C8" s="481"/>
      <c r="D8" s="481"/>
      <c r="E8" s="482" t="s">
        <v>695</v>
      </c>
      <c r="F8" s="483">
        <f>IF('2.1.c Insumos'!F71="","Preencher valor do CIT em Dados de Insumo",('2.1.c Insumos'!F71/('2.1.b Veículos'!D58*SUM('1.3 Frota Total'!C19:F25))))</f>
        <v>0.34663847340416315</v>
      </c>
      <c r="G8" s="484"/>
      <c r="I8" s="29"/>
      <c r="J8" s="30"/>
      <c r="K8" s="30"/>
      <c r="L8" s="31"/>
    </row>
    <row r="9" spans="1:7" ht="36" customHeight="1">
      <c r="A9" s="481" t="s">
        <v>696</v>
      </c>
      <c r="B9" s="481"/>
      <c r="C9" s="481"/>
      <c r="D9" s="481"/>
      <c r="E9" s="485" t="s">
        <v>697</v>
      </c>
      <c r="F9" s="483">
        <v>0.0152</v>
      </c>
      <c r="G9" s="484"/>
    </row>
    <row r="10" spans="1:7" ht="51.75" customHeight="1">
      <c r="A10" s="481" t="s">
        <v>698</v>
      </c>
      <c r="B10" s="481"/>
      <c r="C10" s="481"/>
      <c r="D10" s="481"/>
      <c r="E10" s="485" t="s">
        <v>699</v>
      </c>
      <c r="F10" s="483">
        <f>IF('2.1.c Insumos'!F75="","Preencher valor do CIG em Dados de Insumo",(0.5*'2.1.c Insumos'!F75/('2.1.b Veículos'!D58*SUM('1.3 Frota Total'!C19:F25))))</f>
        <v>0.008124339220410073</v>
      </c>
      <c r="G10" s="484"/>
    </row>
    <row r="11" spans="1:11" ht="15">
      <c r="A11" s="48"/>
      <c r="B11" s="48"/>
      <c r="C11" s="12"/>
      <c r="D11" s="12"/>
      <c r="E11" s="12"/>
      <c r="F11" s="12"/>
      <c r="G11" s="12"/>
      <c r="H11" s="12"/>
      <c r="I11" s="12"/>
      <c r="J11" s="12"/>
      <c r="K11" s="12"/>
    </row>
    <row r="12" spans="1:11" ht="15">
      <c r="A12" s="48"/>
      <c r="B12" s="48"/>
      <c r="C12" s="12"/>
      <c r="D12" s="12"/>
      <c r="E12" s="12"/>
      <c r="F12" s="12"/>
      <c r="G12" s="12"/>
      <c r="H12" s="12"/>
      <c r="I12" s="12"/>
      <c r="J12" s="12"/>
      <c r="K12" s="12"/>
    </row>
    <row r="13" spans="1:7" ht="15.75">
      <c r="A13" s="486"/>
      <c r="B13" s="486"/>
      <c r="C13" s="486"/>
      <c r="D13" s="486"/>
      <c r="E13" s="487" t="s">
        <v>692</v>
      </c>
      <c r="F13" s="488" t="s">
        <v>693</v>
      </c>
      <c r="G13" s="115"/>
    </row>
    <row r="14" spans="1:8" ht="30.75" customHeight="1">
      <c r="A14" s="357" t="s">
        <v>694</v>
      </c>
      <c r="B14" s="357"/>
      <c r="C14" s="357"/>
      <c r="D14" s="357"/>
      <c r="E14" s="489" t="s">
        <v>695</v>
      </c>
      <c r="F14" s="490">
        <v>0.17</v>
      </c>
      <c r="G14" s="11"/>
      <c r="H14" s="491">
        <f aca="true" t="shared" si="0" ref="H14:H15">F9+F15</f>
        <v>0.0602</v>
      </c>
    </row>
    <row r="15" spans="1:8" ht="42" customHeight="1">
      <c r="A15" s="357" t="s">
        <v>696</v>
      </c>
      <c r="B15" s="357"/>
      <c r="C15" s="357"/>
      <c r="D15" s="357"/>
      <c r="E15" s="492" t="s">
        <v>697</v>
      </c>
      <c r="F15" s="490">
        <v>0.045</v>
      </c>
      <c r="G15" s="11"/>
      <c r="H15" s="491">
        <f t="shared" si="0"/>
        <v>0.021024339220410075</v>
      </c>
    </row>
    <row r="16" spans="1:7" ht="57.75" customHeight="1">
      <c r="A16" s="357" t="s">
        <v>698</v>
      </c>
      <c r="B16" s="357"/>
      <c r="C16" s="357"/>
      <c r="D16" s="357"/>
      <c r="E16" s="492" t="s">
        <v>699</v>
      </c>
      <c r="F16" s="490">
        <v>0.0129</v>
      </c>
      <c r="G16" s="11"/>
    </row>
    <row r="17" spans="1:7" ht="15">
      <c r="A17" s="48"/>
      <c r="B17" s="48"/>
      <c r="C17" s="48"/>
      <c r="D17" s="48"/>
      <c r="E17" s="12"/>
      <c r="F17" s="12"/>
      <c r="G17" s="12"/>
    </row>
    <row r="18" spans="1:7" ht="15">
      <c r="A18" s="103" t="s">
        <v>700</v>
      </c>
      <c r="B18" s="48" t="s">
        <v>701</v>
      </c>
      <c r="C18" s="12"/>
      <c r="D18" s="12"/>
      <c r="E18" s="12"/>
      <c r="F18" s="12"/>
      <c r="G18" s="12"/>
    </row>
    <row r="19" spans="1:11" ht="15">
      <c r="A19" s="12"/>
      <c r="B19" s="12"/>
      <c r="C19" s="12"/>
      <c r="D19" s="12"/>
      <c r="E19" s="424"/>
      <c r="F19" s="12"/>
      <c r="G19" s="12"/>
      <c r="H19" s="12"/>
      <c r="I19" s="12"/>
      <c r="J19" s="12"/>
      <c r="K19" s="12"/>
    </row>
    <row r="20" spans="1:11" ht="15">
      <c r="A20" s="12"/>
      <c r="B20" s="12"/>
      <c r="C20" s="52" t="s">
        <v>702</v>
      </c>
      <c r="D20" s="493">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2362.262380266666</v>
      </c>
      <c r="E20" s="494"/>
      <c r="F20" s="427"/>
      <c r="G20" s="12"/>
      <c r="H20" s="12"/>
      <c r="I20" s="12"/>
      <c r="J20" s="12"/>
      <c r="K20" s="12"/>
    </row>
  </sheetData>
  <sheetProtection selectLockedCells="1" selectUnlockedCells="1"/>
  <mergeCells count="9">
    <mergeCell ref="I3:L3"/>
    <mergeCell ref="A7:D7"/>
    <mergeCell ref="A8:D8"/>
    <mergeCell ref="A9:D9"/>
    <mergeCell ref="A10:D10"/>
    <mergeCell ref="A13:D13"/>
    <mergeCell ref="A14:D14"/>
    <mergeCell ref="A15:D15"/>
    <mergeCell ref="A16:D16"/>
  </mergeCells>
  <printOptions/>
  <pageMargins left="0.5118055555555556" right="0.5118055555555556" top="0.7875" bottom="0.78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22"/>
  </sheetPr>
  <dimension ref="A1:J9"/>
  <sheetViews>
    <sheetView workbookViewId="0" topLeftCell="A1">
      <selection activeCell="A18" sqref="A18"/>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5" customWidth="1"/>
    <col min="6" max="6" width="34.28125" style="12" customWidth="1"/>
    <col min="7" max="16384" width="11.421875" style="12" customWidth="1"/>
  </cols>
  <sheetData>
    <row r="1" spans="1:2" ht="15">
      <c r="A1" s="90" t="s">
        <v>676</v>
      </c>
      <c r="B1"/>
    </row>
    <row r="2" spans="1:2" ht="15.75">
      <c r="A2" s="48"/>
      <c r="B2" s="48"/>
    </row>
    <row r="3" spans="1:10" ht="15.75">
      <c r="A3" s="103" t="s">
        <v>703</v>
      </c>
      <c r="B3" s="48" t="s">
        <v>704</v>
      </c>
      <c r="G3" s="15" t="s">
        <v>16</v>
      </c>
      <c r="H3" s="15"/>
      <c r="I3" s="15"/>
      <c r="J3" s="15"/>
    </row>
    <row r="4" spans="7:10" ht="15">
      <c r="G4" s="17"/>
      <c r="H4" s="18"/>
      <c r="I4" s="18"/>
      <c r="J4" s="19"/>
    </row>
    <row r="5" spans="1:10" ht="15">
      <c r="A5" s="103" t="s">
        <v>705</v>
      </c>
      <c r="B5" s="48" t="s">
        <v>706</v>
      </c>
      <c r="F5" s="496"/>
      <c r="G5" s="20"/>
      <c r="H5" s="21"/>
      <c r="I5" s="22" t="s">
        <v>18</v>
      </c>
      <c r="J5" s="23"/>
    </row>
    <row r="6" spans="5:10" ht="15">
      <c r="E6" s="497"/>
      <c r="G6" s="20"/>
      <c r="H6" s="27"/>
      <c r="I6" s="22" t="s">
        <v>20</v>
      </c>
      <c r="J6" s="23"/>
    </row>
    <row r="7" spans="3:10" ht="15">
      <c r="C7" s="498" t="s">
        <v>707</v>
      </c>
      <c r="D7" s="499">
        <f>IF('2.1.c Insumos'!F78="","Preencher valor do CEB em Dados de Insumo",(0.5*'2.1.c Insumos'!F78/('2.1.b Veículos'!D58*SUM('1.3 Frota Total'!C19:F25))))</f>
        <v>0.0016248678440820147</v>
      </c>
      <c r="E7" s="497"/>
      <c r="G7" s="20"/>
      <c r="H7" s="28"/>
      <c r="I7" s="22" t="s">
        <v>22</v>
      </c>
      <c r="J7" s="23"/>
    </row>
    <row r="8" spans="7:10" ht="15.75">
      <c r="G8" s="29"/>
      <c r="H8" s="30"/>
      <c r="I8" s="30"/>
      <c r="J8" s="31"/>
    </row>
    <row r="9" spans="3:5" ht="15">
      <c r="C9" s="500" t="s">
        <v>707</v>
      </c>
      <c r="D9" s="501">
        <v>0.02</v>
      </c>
      <c r="E9" s="11"/>
    </row>
    <row r="10" s="12" customFormat="1" ht="15"/>
  </sheetData>
  <sheetProtection selectLockedCells="1" selectUnlockedCells="1"/>
  <mergeCells count="1">
    <mergeCell ref="G3:J3"/>
  </mergeCells>
  <printOptions/>
  <pageMargins left="0.7875" right="0.7875" top="0.9840277777777778" bottom="0.9840277777777778"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sheetPr>
    <tabColor indexed="22"/>
  </sheetPr>
  <dimension ref="A1:J8"/>
  <sheetViews>
    <sheetView workbookViewId="0" topLeftCell="A1">
      <selection activeCell="D7" sqref="D7"/>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5" customWidth="1"/>
    <col min="6" max="6" width="8.28125" style="12" customWidth="1"/>
    <col min="7" max="7" width="1.421875" style="12" customWidth="1"/>
    <col min="8" max="8" width="8.140625" style="12" customWidth="1"/>
    <col min="9" max="9" width="38.7109375" style="12" customWidth="1"/>
    <col min="10" max="10" width="1.1484375" style="12" customWidth="1"/>
    <col min="11" max="16384" width="11.421875" style="12" customWidth="1"/>
  </cols>
  <sheetData>
    <row r="1" spans="1:2" ht="15">
      <c r="A1" s="90" t="s">
        <v>676</v>
      </c>
      <c r="B1"/>
    </row>
    <row r="2" spans="1:2" ht="15.75">
      <c r="A2" s="48"/>
      <c r="B2" s="48"/>
    </row>
    <row r="3" spans="1:10" ht="15.75">
      <c r="A3" s="103" t="s">
        <v>708</v>
      </c>
      <c r="B3" s="48" t="s">
        <v>709</v>
      </c>
      <c r="G3" s="59" t="s">
        <v>16</v>
      </c>
      <c r="H3" s="59"/>
      <c r="I3" s="59"/>
      <c r="J3" s="350"/>
    </row>
    <row r="4" spans="1:10" ht="15">
      <c r="A4" s="103"/>
      <c r="B4" s="48"/>
      <c r="G4" s="17"/>
      <c r="H4" s="18"/>
      <c r="I4" s="18"/>
      <c r="J4" s="19"/>
    </row>
    <row r="5" spans="1:10" ht="15">
      <c r="A5" s="103" t="s">
        <v>710</v>
      </c>
      <c r="B5" s="48" t="s">
        <v>711</v>
      </c>
      <c r="G5" s="20"/>
      <c r="H5" s="21"/>
      <c r="I5" s="22" t="s">
        <v>18</v>
      </c>
      <c r="J5" s="23"/>
    </row>
    <row r="6" spans="7:10" ht="15">
      <c r="G6" s="20"/>
      <c r="H6" s="27"/>
      <c r="I6" s="22" t="s">
        <v>20</v>
      </c>
      <c r="J6" s="23"/>
    </row>
    <row r="7" spans="3:10" ht="15">
      <c r="C7" s="502" t="s">
        <v>712</v>
      </c>
      <c r="D7" s="503">
        <f>0.5*('1.3 Frota Total'!C103*'2.1.b Veículos'!D17+'1.3 Frota Total'!C104*'2.1.b Veículos'!D18+'1.3 Frota Total'!C105*'2.1.b Veículos'!D19+'1.3 Frota Total'!C106*'2.1.b Veículos'!D20+'1.3 Frota Total'!C107*'2.1.b Veículos'!D21)/('2.1.b Veículos'!D58*SUM('1.3 Frota Total'!C19:F25))</f>
        <v>0.003791358302858034</v>
      </c>
      <c r="E7" s="497"/>
      <c r="G7" s="20"/>
      <c r="H7" s="28"/>
      <c r="I7" s="22" t="s">
        <v>22</v>
      </c>
      <c r="J7" s="23"/>
    </row>
    <row r="8" spans="7:10" ht="15.75">
      <c r="G8" s="29"/>
      <c r="H8" s="30"/>
      <c r="I8" s="30"/>
      <c r="J8" s="31"/>
    </row>
  </sheetData>
  <sheetProtection selectLockedCells="1" selectUnlockedCells="1"/>
  <mergeCells count="1">
    <mergeCell ref="G3:I3"/>
  </mergeCells>
  <printOptions/>
  <pageMargins left="0.7875" right="0.7875" top="0.9840277777777778" bottom="0.9840277777777778"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sheetPr>
    <tabColor indexed="22"/>
  </sheetPr>
  <dimension ref="A1:J24"/>
  <sheetViews>
    <sheetView workbookViewId="0" topLeftCell="A1">
      <selection activeCell="A1" sqref="A1"/>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5" customWidth="1"/>
    <col min="6" max="6" width="8.28125" style="12" customWidth="1"/>
    <col min="7" max="7" width="1.421875" style="12" customWidth="1"/>
    <col min="8" max="8" width="15.7109375" style="12" customWidth="1"/>
    <col min="9" max="9" width="38.7109375" style="12" customWidth="1"/>
    <col min="10" max="10" width="1.1484375" style="12" customWidth="1"/>
    <col min="11" max="16384" width="11.421875" style="12" customWidth="1"/>
  </cols>
  <sheetData>
    <row r="1" ht="15">
      <c r="A1" s="90" t="s">
        <v>676</v>
      </c>
    </row>
    <row r="2" spans="1:2" ht="15.75">
      <c r="A2" s="48" t="s">
        <v>713</v>
      </c>
      <c r="B2" s="12" t="s">
        <v>714</v>
      </c>
    </row>
    <row r="3" spans="1:10" s="115" customFormat="1" ht="16.5">
      <c r="A3" s="504"/>
      <c r="B3" s="504"/>
      <c r="C3" s="504"/>
      <c r="D3" s="504"/>
      <c r="E3" s="505"/>
      <c r="G3" s="15" t="s">
        <v>16</v>
      </c>
      <c r="H3" s="15"/>
      <c r="I3" s="15"/>
      <c r="J3" s="15"/>
    </row>
    <row r="4" spans="1:10" s="115" customFormat="1" ht="15.75" customHeight="1">
      <c r="A4" s="506" t="s">
        <v>715</v>
      </c>
      <c r="B4" s="506"/>
      <c r="C4" s="506"/>
      <c r="D4" s="506"/>
      <c r="E4" s="507">
        <f>'2.1.c Insumos'!F62</f>
        <v>0</v>
      </c>
      <c r="G4" s="17"/>
      <c r="H4" s="18"/>
      <c r="I4" s="18"/>
      <c r="J4" s="19"/>
    </row>
    <row r="5" spans="1:10" s="115" customFormat="1" ht="15.75" customHeight="1">
      <c r="A5" s="508" t="s">
        <v>716</v>
      </c>
      <c r="B5" s="508"/>
      <c r="C5" s="508"/>
      <c r="D5" s="508"/>
      <c r="E5" s="509" t="e">
        <f>1/E4</f>
        <v>#DIV/0!</v>
      </c>
      <c r="G5" s="20"/>
      <c r="H5" s="21"/>
      <c r="I5" s="22" t="s">
        <v>18</v>
      </c>
      <c r="J5" s="23"/>
    </row>
    <row r="6" spans="1:10" ht="15.75">
      <c r="A6" s="510"/>
      <c r="B6" s="510"/>
      <c r="C6" s="510"/>
      <c r="D6" s="510"/>
      <c r="E6" s="511"/>
      <c r="G6" s="20"/>
      <c r="H6" s="27"/>
      <c r="I6" s="22" t="s">
        <v>20</v>
      </c>
      <c r="J6" s="23"/>
    </row>
    <row r="7" spans="1:10" ht="15" customHeight="1">
      <c r="A7" s="48"/>
      <c r="B7" s="48"/>
      <c r="C7" s="48"/>
      <c r="D7" s="48"/>
      <c r="G7" s="20"/>
      <c r="H7" s="28"/>
      <c r="I7" s="22" t="s">
        <v>22</v>
      </c>
      <c r="J7" s="23"/>
    </row>
    <row r="8" spans="1:10" ht="15.75">
      <c r="A8" s="48" t="s">
        <v>717</v>
      </c>
      <c r="B8" s="48" t="s">
        <v>718</v>
      </c>
      <c r="G8" s="29"/>
      <c r="H8" s="30"/>
      <c r="I8" s="30"/>
      <c r="J8" s="31"/>
    </row>
    <row r="10" spans="3:5" ht="15">
      <c r="C10" s="512" t="s">
        <v>719</v>
      </c>
      <c r="D10" s="513" t="e">
        <f>(1/12)*(1-(E5*(E4/2)))</f>
        <v>#DIV/0!</v>
      </c>
      <c r="E10" s="497"/>
    </row>
    <row r="24" ht="15">
      <c r="E24" s="123"/>
    </row>
  </sheetData>
  <sheetProtection selectLockedCells="1" selectUnlockedCells="1"/>
  <mergeCells count="5">
    <mergeCell ref="A3:D3"/>
    <mergeCell ref="G3:J3"/>
    <mergeCell ref="A4:D4"/>
    <mergeCell ref="A5:D5"/>
    <mergeCell ref="A6:D6"/>
  </mergeCells>
  <printOptions/>
  <pageMargins left="0.7875" right="0.7875" top="0.9840277777777778" bottom="0.9840277777777778"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sheetPr>
    <tabColor indexed="22"/>
  </sheetPr>
  <dimension ref="A1:N9"/>
  <sheetViews>
    <sheetView workbookViewId="0" topLeftCell="A1">
      <selection activeCell="A1" sqref="A1"/>
    </sheetView>
  </sheetViews>
  <sheetFormatPr defaultColWidth="9.140625" defaultRowHeight="12.75"/>
  <sheetData>
    <row r="1" ht="15.75">
      <c r="A1" s="90" t="s">
        <v>676</v>
      </c>
    </row>
    <row r="2" spans="1:14" ht="15.75">
      <c r="A2" s="48"/>
      <c r="B2" s="48"/>
      <c r="K2" s="15" t="s">
        <v>16</v>
      </c>
      <c r="L2" s="15"/>
      <c r="M2" s="15"/>
      <c r="N2" s="15"/>
    </row>
    <row r="3" spans="1:14" ht="15">
      <c r="A3" s="103" t="s">
        <v>720</v>
      </c>
      <c r="B3" s="48" t="s">
        <v>721</v>
      </c>
      <c r="K3" s="17"/>
      <c r="L3" s="18"/>
      <c r="M3" s="18"/>
      <c r="N3" s="19"/>
    </row>
    <row r="4" spans="11:14" ht="15">
      <c r="K4" s="20"/>
      <c r="L4" s="21"/>
      <c r="M4" s="22" t="s">
        <v>18</v>
      </c>
      <c r="N4" s="23"/>
    </row>
    <row r="5" spans="1:14" ht="15">
      <c r="A5" s="103" t="s">
        <v>722</v>
      </c>
      <c r="B5" s="48" t="s">
        <v>723</v>
      </c>
      <c r="K5" s="20"/>
      <c r="L5" s="27"/>
      <c r="M5" s="22" t="s">
        <v>20</v>
      </c>
      <c r="N5" s="23"/>
    </row>
    <row r="6" spans="1:14" ht="15">
      <c r="A6" s="103"/>
      <c r="B6" s="48"/>
      <c r="K6" s="20"/>
      <c r="L6" s="28"/>
      <c r="M6" s="22" t="s">
        <v>22</v>
      </c>
      <c r="N6" s="23"/>
    </row>
    <row r="7" spans="1:14" ht="15.75">
      <c r="A7" s="12"/>
      <c r="B7" s="514" t="s">
        <v>719</v>
      </c>
      <c r="C7" s="515">
        <v>0.5</v>
      </c>
      <c r="D7" s="11"/>
      <c r="E7" s="115"/>
      <c r="K7" s="29"/>
      <c r="L7" s="30"/>
      <c r="M7" s="30"/>
      <c r="N7" s="31"/>
    </row>
    <row r="8" spans="1:5" ht="15">
      <c r="A8" s="12"/>
      <c r="B8" s="12"/>
      <c r="C8" s="12"/>
      <c r="D8" s="497"/>
      <c r="E8" s="115"/>
    </row>
    <row r="9" spans="1:5" ht="15">
      <c r="A9" s="12"/>
      <c r="B9" s="12"/>
      <c r="C9" s="12"/>
      <c r="D9" s="495"/>
      <c r="E9" s="115"/>
    </row>
  </sheetData>
  <sheetProtection selectLockedCells="1" selectUnlockedCells="1"/>
  <mergeCells count="1">
    <mergeCell ref="K2:N2"/>
  </mergeCells>
  <printOptions/>
  <pageMargins left="0.5118055555555556" right="0.5118055555555556" top="0.7875" bottom="0.78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7"/>
    <pageSetUpPr fitToPage="1"/>
  </sheetPr>
  <dimension ref="A1:M113"/>
  <sheetViews>
    <sheetView workbookViewId="0" topLeftCell="D43">
      <selection activeCell="E60" sqref="E60"/>
    </sheetView>
  </sheetViews>
  <sheetFormatPr defaultColWidth="9.140625" defaultRowHeight="12.75"/>
  <cols>
    <col min="1" max="1" width="12.28125" style="12" customWidth="1"/>
    <col min="2" max="2" width="31.57421875" style="12" customWidth="1"/>
    <col min="3" max="3" width="48.421875" style="12" customWidth="1"/>
    <col min="4" max="4" width="38.7109375" style="12" customWidth="1"/>
    <col min="5" max="5" width="36.7109375" style="12" customWidth="1"/>
    <col min="6" max="6" width="30.7109375" style="12" customWidth="1"/>
    <col min="7" max="7" width="27.421875" style="12" customWidth="1"/>
    <col min="8" max="8" width="29.28125" style="12" customWidth="1"/>
    <col min="9" max="9" width="11.421875" style="12" customWidth="1"/>
    <col min="10" max="10" width="0.9921875" style="12" customWidth="1"/>
    <col min="11" max="11" width="11.421875" style="12" customWidth="1"/>
    <col min="12" max="12" width="38.7109375" style="12" customWidth="1"/>
    <col min="13" max="13" width="0.9921875" style="12" customWidth="1"/>
    <col min="14" max="16384" width="11.421875" style="12" customWidth="1"/>
  </cols>
  <sheetData>
    <row r="1" spans="1:11" ht="15">
      <c r="A1" s="13" t="s">
        <v>116</v>
      </c>
      <c r="B1" s="13"/>
      <c r="C1" s="13"/>
      <c r="D1" s="13"/>
      <c r="E1" s="13"/>
      <c r="F1" s="13"/>
      <c r="G1" s="13"/>
      <c r="H1" s="13"/>
      <c r="I1" s="13"/>
      <c r="J1" s="13"/>
      <c r="K1" s="13"/>
    </row>
    <row r="2" ht="15.75"/>
    <row r="3" spans="1:13" ht="15.75">
      <c r="A3" s="16" t="s">
        <v>117</v>
      </c>
      <c r="C3" s="86" t="s">
        <v>118</v>
      </c>
      <c r="D3" s="86"/>
      <c r="E3" s="86"/>
      <c r="J3" s="15" t="s">
        <v>16</v>
      </c>
      <c r="K3" s="15"/>
      <c r="L3" s="15"/>
      <c r="M3" s="15"/>
    </row>
    <row r="4" spans="1:13" ht="15">
      <c r="A4" s="14"/>
      <c r="C4" s="87" t="s">
        <v>119</v>
      </c>
      <c r="D4" s="87" t="s">
        <v>120</v>
      </c>
      <c r="E4" s="87" t="s">
        <v>121</v>
      </c>
      <c r="J4" s="17"/>
      <c r="K4" s="18"/>
      <c r="L4" s="18"/>
      <c r="M4" s="19"/>
    </row>
    <row r="5" spans="1:13" ht="15">
      <c r="A5" s="88" t="s">
        <v>122</v>
      </c>
      <c r="B5" s="88"/>
      <c r="C5" s="89" t="s">
        <v>123</v>
      </c>
      <c r="D5" s="89" t="s">
        <v>124</v>
      </c>
      <c r="E5" s="89" t="s">
        <v>125</v>
      </c>
      <c r="J5" s="20"/>
      <c r="K5" s="21"/>
      <c r="L5" s="22" t="s">
        <v>18</v>
      </c>
      <c r="M5" s="23"/>
    </row>
    <row r="6" spans="1:13" ht="15">
      <c r="A6" s="88" t="s">
        <v>126</v>
      </c>
      <c r="B6" s="88"/>
      <c r="C6" s="89" t="s">
        <v>127</v>
      </c>
      <c r="D6" s="89" t="s">
        <v>128</v>
      </c>
      <c r="E6" s="89" t="s">
        <v>129</v>
      </c>
      <c r="J6" s="20"/>
      <c r="K6" s="27"/>
      <c r="L6" s="22" t="s">
        <v>20</v>
      </c>
      <c r="M6" s="23"/>
    </row>
    <row r="7" spans="1:13" ht="15">
      <c r="A7" s="88" t="s">
        <v>130</v>
      </c>
      <c r="B7" s="88"/>
      <c r="C7" s="89" t="s">
        <v>131</v>
      </c>
      <c r="D7" s="89" t="s">
        <v>132</v>
      </c>
      <c r="E7" s="89" t="s">
        <v>133</v>
      </c>
      <c r="J7" s="20"/>
      <c r="K7" s="28"/>
      <c r="L7" s="22" t="s">
        <v>22</v>
      </c>
      <c r="M7" s="23"/>
    </row>
    <row r="8" spans="1:13" ht="15.75">
      <c r="A8" s="88" t="s">
        <v>134</v>
      </c>
      <c r="B8" s="88"/>
      <c r="C8" s="89" t="s">
        <v>135</v>
      </c>
      <c r="D8" s="89" t="s">
        <v>136</v>
      </c>
      <c r="E8" s="89" t="s">
        <v>137</v>
      </c>
      <c r="J8" s="29"/>
      <c r="K8" s="30"/>
      <c r="L8" s="30"/>
      <c r="M8" s="31"/>
    </row>
    <row r="9" spans="1:5" ht="15">
      <c r="A9" s="88" t="s">
        <v>138</v>
      </c>
      <c r="B9" s="88"/>
      <c r="C9" s="89" t="s">
        <v>139</v>
      </c>
      <c r="D9" s="89" t="s">
        <v>136</v>
      </c>
      <c r="E9" s="89" t="s">
        <v>137</v>
      </c>
    </row>
    <row r="10" spans="1:5" ht="15">
      <c r="A10" s="88" t="s">
        <v>140</v>
      </c>
      <c r="B10" s="88"/>
      <c r="C10" s="89" t="s">
        <v>141</v>
      </c>
      <c r="D10" s="89" t="s">
        <v>142</v>
      </c>
      <c r="E10" s="89" t="s">
        <v>143</v>
      </c>
    </row>
    <row r="11" spans="1:5" ht="15">
      <c r="A11" s="88" t="s">
        <v>144</v>
      </c>
      <c r="B11" s="88"/>
      <c r="C11" s="89" t="s">
        <v>145</v>
      </c>
      <c r="D11" s="89" t="s">
        <v>146</v>
      </c>
      <c r="E11" s="89" t="s">
        <v>147</v>
      </c>
    </row>
    <row r="12" spans="1:3" ht="15.75">
      <c r="A12" s="14"/>
      <c r="B12" s="1"/>
      <c r="C12" s="90"/>
    </row>
    <row r="13" spans="1:11" ht="15">
      <c r="A13" s="16" t="s">
        <v>148</v>
      </c>
      <c r="B13" s="48"/>
      <c r="C13" s="48"/>
      <c r="D13" s="48"/>
      <c r="E13" s="48"/>
      <c r="F13" s="48"/>
      <c r="G13" s="48"/>
      <c r="H13" s="48"/>
      <c r="I13" s="48"/>
      <c r="J13" s="48"/>
      <c r="K13" s="48"/>
    </row>
    <row r="14" spans="1:11" ht="15">
      <c r="A14" s="16"/>
      <c r="B14" s="48"/>
      <c r="C14" s="48"/>
      <c r="D14" s="48"/>
      <c r="E14" s="48"/>
      <c r="F14" s="48"/>
      <c r="G14" s="48"/>
      <c r="H14" s="48"/>
      <c r="I14" s="48"/>
      <c r="J14" s="48"/>
      <c r="K14" s="48"/>
    </row>
    <row r="15" spans="1:11" ht="15">
      <c r="A15" s="16" t="s">
        <v>149</v>
      </c>
      <c r="B15" s="48"/>
      <c r="C15" s="48"/>
      <c r="D15" s="48"/>
      <c r="E15" s="48"/>
      <c r="F15" s="48"/>
      <c r="G15" s="48"/>
      <c r="H15" s="48"/>
      <c r="I15" s="48"/>
      <c r="J15" s="48"/>
      <c r="K15" s="48"/>
    </row>
    <row r="16" spans="1:11" ht="15">
      <c r="A16" s="16"/>
      <c r="B16" s="48"/>
      <c r="C16" s="48"/>
      <c r="D16" s="48"/>
      <c r="E16" s="48"/>
      <c r="F16" s="48"/>
      <c r="G16" s="48"/>
      <c r="H16" s="48"/>
      <c r="I16" s="48"/>
      <c r="J16" s="48"/>
      <c r="K16" s="48"/>
    </row>
    <row r="17" spans="1:6" ht="15">
      <c r="A17" s="91" t="s">
        <v>150</v>
      </c>
      <c r="B17" s="91"/>
      <c r="C17" s="92" t="s">
        <v>151</v>
      </c>
      <c r="D17" s="92"/>
      <c r="E17" s="92" t="s">
        <v>152</v>
      </c>
      <c r="F17" s="92"/>
    </row>
    <row r="18" spans="1:6" ht="15">
      <c r="A18" s="91"/>
      <c r="B18" s="91"/>
      <c r="C18" s="92" t="s">
        <v>153</v>
      </c>
      <c r="D18" s="92" t="s">
        <v>154</v>
      </c>
      <c r="E18" s="92" t="s">
        <v>155</v>
      </c>
      <c r="F18" s="92" t="s">
        <v>156</v>
      </c>
    </row>
    <row r="19" spans="1:6" ht="15" customHeight="1">
      <c r="A19" s="93" t="s">
        <v>122</v>
      </c>
      <c r="B19" s="93"/>
      <c r="C19" s="94"/>
      <c r="D19" s="94"/>
      <c r="E19" s="94"/>
      <c r="F19" s="94"/>
    </row>
    <row r="20" spans="1:6" ht="15">
      <c r="A20" s="93" t="s">
        <v>126</v>
      </c>
      <c r="B20" s="93"/>
      <c r="C20" s="94"/>
      <c r="D20" s="94"/>
      <c r="E20" s="94"/>
      <c r="F20" s="94"/>
    </row>
    <row r="21" spans="1:6" ht="15">
      <c r="A21" s="93" t="s">
        <v>130</v>
      </c>
      <c r="B21" s="93"/>
      <c r="C21" s="94"/>
      <c r="D21" s="94"/>
      <c r="E21" s="94"/>
      <c r="F21" s="94"/>
    </row>
    <row r="22" spans="1:6" ht="15">
      <c r="A22" s="93" t="s">
        <v>134</v>
      </c>
      <c r="B22" s="93"/>
      <c r="C22" s="94">
        <v>12</v>
      </c>
      <c r="D22" s="94"/>
      <c r="E22" s="94"/>
      <c r="F22" s="94">
        <v>2</v>
      </c>
    </row>
    <row r="23" spans="1:6" ht="15">
      <c r="A23" s="93" t="s">
        <v>138</v>
      </c>
      <c r="B23" s="93"/>
      <c r="C23" s="94"/>
      <c r="D23" s="94"/>
      <c r="E23" s="94"/>
      <c r="F23" s="94"/>
    </row>
    <row r="24" spans="1:6" ht="15">
      <c r="A24" s="93" t="s">
        <v>140</v>
      </c>
      <c r="B24" s="93"/>
      <c r="C24" s="94"/>
      <c r="D24" s="94"/>
      <c r="E24" s="94"/>
      <c r="F24" s="94"/>
    </row>
    <row r="25" spans="1:7" ht="15">
      <c r="A25" s="93" t="s">
        <v>144</v>
      </c>
      <c r="B25" s="93"/>
      <c r="C25" s="94"/>
      <c r="D25" s="94"/>
      <c r="E25" s="94"/>
      <c r="F25" s="94"/>
      <c r="G25" s="95"/>
    </row>
    <row r="27" spans="1:2" ht="15">
      <c r="A27" s="16" t="s">
        <v>157</v>
      </c>
      <c r="B27" s="48"/>
    </row>
    <row r="28" spans="1:2" ht="15">
      <c r="A28" s="16"/>
      <c r="B28" s="48"/>
    </row>
    <row r="29" spans="1:8" ht="15">
      <c r="A29" s="92" t="s">
        <v>150</v>
      </c>
      <c r="B29" s="92"/>
      <c r="C29" s="92"/>
      <c r="D29" s="92" t="s">
        <v>158</v>
      </c>
      <c r="E29" s="92" t="s">
        <v>151</v>
      </c>
      <c r="F29" s="92"/>
      <c r="G29" s="92" t="s">
        <v>152</v>
      </c>
      <c r="H29" s="92"/>
    </row>
    <row r="30" spans="1:8" ht="15">
      <c r="A30" s="92"/>
      <c r="B30" s="92"/>
      <c r="C30" s="92"/>
      <c r="D30" s="92"/>
      <c r="E30" s="92" t="s">
        <v>153</v>
      </c>
      <c r="F30" s="92" t="s">
        <v>154</v>
      </c>
      <c r="G30" s="92" t="s">
        <v>153</v>
      </c>
      <c r="H30" s="92" t="s">
        <v>154</v>
      </c>
    </row>
    <row r="31" spans="1:12" ht="15">
      <c r="A31" s="96" t="s">
        <v>159</v>
      </c>
      <c r="B31" s="96"/>
      <c r="C31" s="96"/>
      <c r="D31" s="97">
        <v>0</v>
      </c>
      <c r="E31" s="94"/>
      <c r="F31" s="94"/>
      <c r="G31" s="94"/>
      <c r="H31" s="94"/>
      <c r="L31" s="95"/>
    </row>
    <row r="32" spans="1:8" ht="15">
      <c r="A32" s="96"/>
      <c r="B32" s="96"/>
      <c r="C32" s="96"/>
      <c r="D32" s="98">
        <v>1</v>
      </c>
      <c r="E32" s="94"/>
      <c r="F32" s="94"/>
      <c r="G32" s="94"/>
      <c r="H32" s="94"/>
    </row>
    <row r="33" spans="1:8" ht="15">
      <c r="A33" s="96"/>
      <c r="B33" s="96"/>
      <c r="C33" s="96"/>
      <c r="D33" s="98">
        <v>2</v>
      </c>
      <c r="E33" s="94"/>
      <c r="F33" s="94"/>
      <c r="G33" s="94"/>
      <c r="H33" s="94"/>
    </row>
    <row r="34" spans="1:8" ht="15">
      <c r="A34" s="96"/>
      <c r="B34" s="96"/>
      <c r="C34" s="96"/>
      <c r="D34" s="98">
        <v>3</v>
      </c>
      <c r="E34" s="94"/>
      <c r="F34" s="94"/>
      <c r="G34" s="94"/>
      <c r="H34" s="94"/>
    </row>
    <row r="35" spans="1:8" ht="15">
      <c r="A35" s="96"/>
      <c r="B35" s="96"/>
      <c r="C35" s="96"/>
      <c r="D35" s="98">
        <v>4</v>
      </c>
      <c r="E35" s="94"/>
      <c r="F35" s="94"/>
      <c r="G35" s="94"/>
      <c r="H35" s="94"/>
    </row>
    <row r="36" spans="1:8" ht="15">
      <c r="A36" s="96"/>
      <c r="B36" s="96"/>
      <c r="C36" s="96"/>
      <c r="D36" s="98">
        <v>5</v>
      </c>
      <c r="E36" s="94"/>
      <c r="F36" s="94"/>
      <c r="G36" s="94"/>
      <c r="H36" s="94"/>
    </row>
    <row r="37" spans="1:8" ht="15">
      <c r="A37" s="96" t="s">
        <v>126</v>
      </c>
      <c r="B37" s="96"/>
      <c r="C37" s="96"/>
      <c r="D37" s="98">
        <v>0</v>
      </c>
      <c r="E37" s="94"/>
      <c r="F37" s="94"/>
      <c r="G37" s="94"/>
      <c r="H37" s="94"/>
    </row>
    <row r="38" spans="1:8" ht="15">
      <c r="A38" s="96"/>
      <c r="B38" s="96"/>
      <c r="C38" s="96"/>
      <c r="D38" s="98">
        <v>1</v>
      </c>
      <c r="E38" s="94"/>
      <c r="F38" s="94"/>
      <c r="G38" s="94"/>
      <c r="H38" s="94"/>
    </row>
    <row r="39" spans="1:8" ht="15">
      <c r="A39" s="96"/>
      <c r="B39" s="96"/>
      <c r="C39" s="96"/>
      <c r="D39" s="98">
        <v>2</v>
      </c>
      <c r="E39" s="94"/>
      <c r="F39" s="94"/>
      <c r="G39" s="94"/>
      <c r="H39" s="94"/>
    </row>
    <row r="40" spans="1:8" ht="15">
      <c r="A40" s="96"/>
      <c r="B40" s="96"/>
      <c r="C40" s="96"/>
      <c r="D40" s="98">
        <v>3</v>
      </c>
      <c r="E40" s="94"/>
      <c r="F40" s="94"/>
      <c r="G40" s="94"/>
      <c r="H40" s="94"/>
    </row>
    <row r="41" spans="1:8" ht="15">
      <c r="A41" s="96"/>
      <c r="B41" s="96"/>
      <c r="C41" s="96"/>
      <c r="D41" s="98">
        <v>4</v>
      </c>
      <c r="E41" s="94"/>
      <c r="F41" s="94"/>
      <c r="G41" s="94"/>
      <c r="H41" s="94"/>
    </row>
    <row r="42" spans="1:8" ht="15">
      <c r="A42" s="96"/>
      <c r="B42" s="96"/>
      <c r="C42" s="96"/>
      <c r="D42" s="98">
        <v>5</v>
      </c>
      <c r="E42" s="94"/>
      <c r="F42" s="94"/>
      <c r="G42" s="94"/>
      <c r="H42" s="94"/>
    </row>
    <row r="43" spans="1:8" ht="15">
      <c r="A43" s="96" t="s">
        <v>130</v>
      </c>
      <c r="B43" s="96"/>
      <c r="C43" s="96"/>
      <c r="D43" s="98">
        <v>0</v>
      </c>
      <c r="E43" s="94"/>
      <c r="F43" s="94"/>
      <c r="G43" s="94"/>
      <c r="H43" s="94"/>
    </row>
    <row r="44" spans="1:8" ht="15">
      <c r="A44" s="96"/>
      <c r="B44" s="96"/>
      <c r="C44" s="96"/>
      <c r="D44" s="98">
        <v>1</v>
      </c>
      <c r="E44" s="94"/>
      <c r="F44" s="94"/>
      <c r="G44" s="94"/>
      <c r="H44" s="94"/>
    </row>
    <row r="45" spans="1:8" ht="15">
      <c r="A45" s="96"/>
      <c r="B45" s="96"/>
      <c r="C45" s="96"/>
      <c r="D45" s="98">
        <v>2</v>
      </c>
      <c r="E45" s="94"/>
      <c r="F45" s="94"/>
      <c r="G45" s="94"/>
      <c r="H45" s="94"/>
    </row>
    <row r="46" spans="1:8" ht="15">
      <c r="A46" s="96"/>
      <c r="B46" s="96"/>
      <c r="C46" s="96"/>
      <c r="D46" s="98">
        <v>3</v>
      </c>
      <c r="E46" s="94"/>
      <c r="F46" s="94"/>
      <c r="G46" s="94"/>
      <c r="H46" s="94"/>
    </row>
    <row r="47" spans="1:8" ht="15">
      <c r="A47" s="96"/>
      <c r="B47" s="96"/>
      <c r="C47" s="96"/>
      <c r="D47" s="98">
        <v>4</v>
      </c>
      <c r="E47" s="94"/>
      <c r="F47" s="94"/>
      <c r="G47" s="94"/>
      <c r="H47" s="94"/>
    </row>
    <row r="48" spans="1:8" ht="15">
      <c r="A48" s="96"/>
      <c r="B48" s="96"/>
      <c r="C48" s="96"/>
      <c r="D48" s="98">
        <v>5</v>
      </c>
      <c r="E48" s="94"/>
      <c r="F48" s="94"/>
      <c r="G48" s="94"/>
      <c r="H48" s="94"/>
    </row>
    <row r="49" spans="1:8" ht="15">
      <c r="A49" s="96"/>
      <c r="B49" s="96"/>
      <c r="C49" s="96"/>
      <c r="D49" s="98">
        <v>6</v>
      </c>
      <c r="E49" s="94"/>
      <c r="F49" s="94"/>
      <c r="G49" s="94"/>
      <c r="H49" s="94"/>
    </row>
    <row r="50" spans="1:8" ht="15">
      <c r="A50" s="96"/>
      <c r="B50" s="96"/>
      <c r="C50" s="96"/>
      <c r="D50" s="98">
        <v>7</v>
      </c>
      <c r="E50" s="94"/>
      <c r="F50" s="94"/>
      <c r="G50" s="94"/>
      <c r="H50" s="94"/>
    </row>
    <row r="51" spans="1:8" ht="15">
      <c r="A51" s="96"/>
      <c r="B51" s="96"/>
      <c r="C51" s="96"/>
      <c r="D51" s="98">
        <v>8</v>
      </c>
      <c r="E51" s="94"/>
      <c r="F51" s="94"/>
      <c r="G51" s="94"/>
      <c r="H51" s="94"/>
    </row>
    <row r="52" spans="1:8" ht="15">
      <c r="A52" s="38" t="s">
        <v>134</v>
      </c>
      <c r="B52" s="38"/>
      <c r="C52" s="38"/>
      <c r="D52" s="99">
        <v>0</v>
      </c>
      <c r="E52" s="100"/>
      <c r="F52" s="94"/>
      <c r="G52" s="94"/>
      <c r="H52" s="94"/>
    </row>
    <row r="53" spans="1:8" ht="15">
      <c r="A53" s="38"/>
      <c r="B53" s="38"/>
      <c r="C53" s="38"/>
      <c r="D53" s="99">
        <v>1</v>
      </c>
      <c r="E53" s="100"/>
      <c r="F53" s="94"/>
      <c r="G53" s="94"/>
      <c r="H53" s="94"/>
    </row>
    <row r="54" spans="1:8" ht="15">
      <c r="A54" s="38"/>
      <c r="B54" s="38"/>
      <c r="C54" s="38"/>
      <c r="D54" s="99">
        <v>2</v>
      </c>
      <c r="E54" s="100"/>
      <c r="F54" s="94"/>
      <c r="G54" s="94"/>
      <c r="H54" s="94"/>
    </row>
    <row r="55" spans="1:8" ht="15">
      <c r="A55" s="38"/>
      <c r="B55" s="38"/>
      <c r="C55" s="38"/>
      <c r="D55" s="99">
        <v>3</v>
      </c>
      <c r="E55" s="100"/>
      <c r="F55" s="94"/>
      <c r="G55" s="94"/>
      <c r="H55" s="94"/>
    </row>
    <row r="56" spans="1:8" ht="15">
      <c r="A56" s="38"/>
      <c r="B56" s="38"/>
      <c r="C56" s="38"/>
      <c r="D56" s="99">
        <v>4</v>
      </c>
      <c r="E56" s="100">
        <v>2</v>
      </c>
      <c r="F56" s="94"/>
      <c r="G56" s="94"/>
      <c r="H56" s="94"/>
    </row>
    <row r="57" spans="1:8" ht="15">
      <c r="A57" s="38"/>
      <c r="B57" s="38"/>
      <c r="C57" s="38"/>
      <c r="D57" s="99">
        <v>5</v>
      </c>
      <c r="E57" s="100"/>
      <c r="F57" s="94"/>
      <c r="G57" s="94">
        <v>2</v>
      </c>
      <c r="H57" s="94"/>
    </row>
    <row r="58" spans="1:8" ht="15">
      <c r="A58" s="38"/>
      <c r="B58" s="38"/>
      <c r="C58" s="38"/>
      <c r="D58" s="99">
        <v>6</v>
      </c>
      <c r="E58" s="100"/>
      <c r="F58" s="94"/>
      <c r="G58" s="94"/>
      <c r="H58" s="94"/>
    </row>
    <row r="59" spans="1:8" ht="15">
      <c r="A59" s="38"/>
      <c r="B59" s="38"/>
      <c r="C59" s="38"/>
      <c r="D59" s="99">
        <v>7</v>
      </c>
      <c r="E59" s="100"/>
      <c r="F59" s="94"/>
      <c r="G59" s="94"/>
      <c r="H59" s="94"/>
    </row>
    <row r="60" spans="1:8" ht="15">
      <c r="A60" s="38"/>
      <c r="B60" s="38"/>
      <c r="C60" s="38"/>
      <c r="D60" s="99" t="s">
        <v>160</v>
      </c>
      <c r="E60" s="100">
        <v>10</v>
      </c>
      <c r="F60" s="94"/>
      <c r="G60" s="94"/>
      <c r="H60" s="94"/>
    </row>
    <row r="61" spans="1:8" ht="15">
      <c r="A61" s="96" t="s">
        <v>138</v>
      </c>
      <c r="B61" s="96"/>
      <c r="C61" s="96"/>
      <c r="D61" s="98">
        <v>0</v>
      </c>
      <c r="E61" s="94"/>
      <c r="F61" s="94"/>
      <c r="G61" s="94"/>
      <c r="H61" s="94"/>
    </row>
    <row r="62" spans="1:8" ht="15">
      <c r="A62" s="96"/>
      <c r="B62" s="96"/>
      <c r="C62" s="96"/>
      <c r="D62" s="98">
        <v>1</v>
      </c>
      <c r="E62" s="94"/>
      <c r="F62" s="94"/>
      <c r="G62" s="94"/>
      <c r="H62" s="94"/>
    </row>
    <row r="63" spans="1:8" ht="15">
      <c r="A63" s="96"/>
      <c r="B63" s="96"/>
      <c r="C63" s="96"/>
      <c r="D63" s="98">
        <v>2</v>
      </c>
      <c r="E63" s="94"/>
      <c r="F63" s="94"/>
      <c r="G63" s="94"/>
      <c r="H63" s="94"/>
    </row>
    <row r="64" spans="1:8" ht="15">
      <c r="A64" s="96"/>
      <c r="B64" s="96"/>
      <c r="C64" s="96"/>
      <c r="D64" s="98">
        <v>3</v>
      </c>
      <c r="E64" s="94"/>
      <c r="F64" s="94"/>
      <c r="G64" s="94"/>
      <c r="H64" s="94"/>
    </row>
    <row r="65" spans="1:8" ht="15">
      <c r="A65" s="96"/>
      <c r="B65" s="96"/>
      <c r="C65" s="96"/>
      <c r="D65" s="98">
        <v>4</v>
      </c>
      <c r="E65" s="94"/>
      <c r="F65" s="94"/>
      <c r="G65" s="94"/>
      <c r="H65" s="94"/>
    </row>
    <row r="66" spans="1:8" ht="15">
      <c r="A66" s="96"/>
      <c r="B66" s="96"/>
      <c r="C66" s="96"/>
      <c r="D66" s="98">
        <v>5</v>
      </c>
      <c r="E66" s="94"/>
      <c r="F66" s="94"/>
      <c r="G66" s="94"/>
      <c r="H66" s="94"/>
    </row>
    <row r="67" spans="1:8" ht="15">
      <c r="A67" s="96"/>
      <c r="B67" s="96"/>
      <c r="C67" s="96"/>
      <c r="D67" s="98">
        <v>6</v>
      </c>
      <c r="E67" s="94"/>
      <c r="F67" s="94"/>
      <c r="G67" s="94"/>
      <c r="H67" s="94"/>
    </row>
    <row r="68" spans="1:8" ht="15">
      <c r="A68" s="96"/>
      <c r="B68" s="96"/>
      <c r="C68" s="96"/>
      <c r="D68" s="98">
        <v>7</v>
      </c>
      <c r="E68" s="94"/>
      <c r="F68" s="94"/>
      <c r="G68" s="94"/>
      <c r="H68" s="94"/>
    </row>
    <row r="69" spans="1:8" ht="15">
      <c r="A69" s="96"/>
      <c r="B69" s="96"/>
      <c r="C69" s="96"/>
      <c r="D69" s="98">
        <v>8</v>
      </c>
      <c r="E69" s="94"/>
      <c r="F69" s="94"/>
      <c r="G69" s="94"/>
      <c r="H69" s="94"/>
    </row>
    <row r="70" spans="1:8" ht="15">
      <c r="A70" s="96"/>
      <c r="B70" s="96"/>
      <c r="C70" s="96"/>
      <c r="D70" s="98">
        <v>9</v>
      </c>
      <c r="E70" s="94"/>
      <c r="F70" s="94"/>
      <c r="G70" s="94"/>
      <c r="H70" s="94"/>
    </row>
    <row r="71" spans="1:8" ht="15">
      <c r="A71" s="96"/>
      <c r="B71" s="96"/>
      <c r="C71" s="96"/>
      <c r="D71" s="98">
        <v>10</v>
      </c>
      <c r="E71" s="94"/>
      <c r="F71" s="94"/>
      <c r="G71" s="94"/>
      <c r="H71" s="94"/>
    </row>
    <row r="72" spans="1:8" ht="15">
      <c r="A72" s="96" t="s">
        <v>140</v>
      </c>
      <c r="B72" s="96"/>
      <c r="C72" s="96"/>
      <c r="D72" s="98">
        <v>0</v>
      </c>
      <c r="E72" s="94"/>
      <c r="F72" s="94"/>
      <c r="G72" s="94"/>
      <c r="H72" s="94"/>
    </row>
    <row r="73" spans="1:8" ht="15">
      <c r="A73" s="96"/>
      <c r="B73" s="96"/>
      <c r="C73" s="96"/>
      <c r="D73" s="98">
        <v>1</v>
      </c>
      <c r="E73" s="94"/>
      <c r="F73" s="94"/>
      <c r="G73" s="94"/>
      <c r="H73" s="94"/>
    </row>
    <row r="74" spans="1:8" ht="15">
      <c r="A74" s="96"/>
      <c r="B74" s="96"/>
      <c r="C74" s="96"/>
      <c r="D74" s="98">
        <v>2</v>
      </c>
      <c r="E74" s="94"/>
      <c r="F74" s="94"/>
      <c r="G74" s="94"/>
      <c r="H74" s="94"/>
    </row>
    <row r="75" spans="1:8" ht="15">
      <c r="A75" s="96"/>
      <c r="B75" s="96"/>
      <c r="C75" s="96"/>
      <c r="D75" s="98">
        <v>3</v>
      </c>
      <c r="E75" s="94"/>
      <c r="F75" s="94"/>
      <c r="G75" s="94"/>
      <c r="H75" s="94"/>
    </row>
    <row r="76" spans="1:8" ht="15">
      <c r="A76" s="96"/>
      <c r="B76" s="96"/>
      <c r="C76" s="96"/>
      <c r="D76" s="98">
        <v>4</v>
      </c>
      <c r="E76" s="94"/>
      <c r="F76" s="94"/>
      <c r="G76" s="94"/>
      <c r="H76" s="94"/>
    </row>
    <row r="77" spans="1:8" ht="15">
      <c r="A77" s="96"/>
      <c r="B77" s="96"/>
      <c r="C77" s="96"/>
      <c r="D77" s="98">
        <v>5</v>
      </c>
      <c r="E77" s="94"/>
      <c r="F77" s="94"/>
      <c r="G77" s="94"/>
      <c r="H77" s="94"/>
    </row>
    <row r="78" spans="1:8" ht="15">
      <c r="A78" s="96"/>
      <c r="B78" s="96"/>
      <c r="C78" s="96"/>
      <c r="D78" s="98">
        <v>6</v>
      </c>
      <c r="E78" s="94"/>
      <c r="F78" s="94"/>
      <c r="G78" s="94"/>
      <c r="H78" s="94"/>
    </row>
    <row r="79" spans="1:8" ht="15">
      <c r="A79" s="96"/>
      <c r="B79" s="96"/>
      <c r="C79" s="96"/>
      <c r="D79" s="98">
        <v>7</v>
      </c>
      <c r="E79" s="94"/>
      <c r="F79" s="94"/>
      <c r="G79" s="94"/>
      <c r="H79" s="94"/>
    </row>
    <row r="80" spans="1:8" ht="15">
      <c r="A80" s="96"/>
      <c r="B80" s="96"/>
      <c r="C80" s="96"/>
      <c r="D80" s="98">
        <v>8</v>
      </c>
      <c r="E80" s="94"/>
      <c r="F80" s="94"/>
      <c r="G80" s="94"/>
      <c r="H80" s="94"/>
    </row>
    <row r="81" spans="1:8" ht="15">
      <c r="A81" s="96"/>
      <c r="B81" s="96"/>
      <c r="C81" s="96"/>
      <c r="D81" s="98">
        <v>9</v>
      </c>
      <c r="E81" s="94"/>
      <c r="F81" s="94"/>
      <c r="G81" s="94"/>
      <c r="H81" s="94"/>
    </row>
    <row r="82" spans="1:8" ht="15">
      <c r="A82" s="96"/>
      <c r="B82" s="96"/>
      <c r="C82" s="96"/>
      <c r="D82" s="98">
        <v>10</v>
      </c>
      <c r="E82" s="94"/>
      <c r="F82" s="94"/>
      <c r="G82" s="94"/>
      <c r="H82" s="94"/>
    </row>
    <row r="83" spans="1:8" ht="15">
      <c r="A83" s="96"/>
      <c r="B83" s="96"/>
      <c r="C83" s="96"/>
      <c r="D83" s="98">
        <v>11</v>
      </c>
      <c r="E83" s="94"/>
      <c r="F83" s="94"/>
      <c r="G83" s="94"/>
      <c r="H83" s="94"/>
    </row>
    <row r="84" spans="1:8" ht="15">
      <c r="A84" s="96"/>
      <c r="B84" s="96"/>
      <c r="C84" s="96"/>
      <c r="D84" s="98">
        <v>12</v>
      </c>
      <c r="E84" s="94"/>
      <c r="F84" s="94"/>
      <c r="G84" s="94"/>
      <c r="H84" s="94"/>
    </row>
    <row r="85" spans="1:8" ht="15">
      <c r="A85" s="96" t="s">
        <v>144</v>
      </c>
      <c r="B85" s="96"/>
      <c r="C85" s="96"/>
      <c r="D85" s="98">
        <v>0</v>
      </c>
      <c r="E85" s="94"/>
      <c r="F85" s="94"/>
      <c r="G85" s="94"/>
      <c r="H85" s="94"/>
    </row>
    <row r="86" spans="1:8" ht="15">
      <c r="A86" s="96"/>
      <c r="B86" s="96"/>
      <c r="C86" s="96"/>
      <c r="D86" s="98">
        <v>1</v>
      </c>
      <c r="E86" s="94"/>
      <c r="F86" s="94"/>
      <c r="G86" s="94"/>
      <c r="H86" s="94"/>
    </row>
    <row r="87" spans="1:8" ht="15">
      <c r="A87" s="96"/>
      <c r="B87" s="96"/>
      <c r="C87" s="96"/>
      <c r="D87" s="98">
        <v>2</v>
      </c>
      <c r="E87" s="94"/>
      <c r="F87" s="94"/>
      <c r="G87" s="94"/>
      <c r="H87" s="94"/>
    </row>
    <row r="88" spans="1:8" ht="15">
      <c r="A88" s="96"/>
      <c r="B88" s="96"/>
      <c r="C88" s="96"/>
      <c r="D88" s="98">
        <v>3</v>
      </c>
      <c r="E88" s="94"/>
      <c r="F88" s="94"/>
      <c r="G88" s="94"/>
      <c r="H88" s="94"/>
    </row>
    <row r="89" spans="1:8" ht="15">
      <c r="A89" s="96"/>
      <c r="B89" s="96"/>
      <c r="C89" s="96"/>
      <c r="D89" s="98">
        <v>4</v>
      </c>
      <c r="E89" s="94"/>
      <c r="F89" s="94"/>
      <c r="G89" s="94"/>
      <c r="H89" s="94"/>
    </row>
    <row r="90" spans="1:8" ht="15">
      <c r="A90" s="96"/>
      <c r="B90" s="96"/>
      <c r="C90" s="96"/>
      <c r="D90" s="98">
        <v>5</v>
      </c>
      <c r="E90" s="94"/>
      <c r="F90" s="94"/>
      <c r="G90" s="94"/>
      <c r="H90" s="94"/>
    </row>
    <row r="91" spans="1:8" ht="15">
      <c r="A91" s="96"/>
      <c r="B91" s="96"/>
      <c r="C91" s="96"/>
      <c r="D91" s="98">
        <v>6</v>
      </c>
      <c r="E91" s="94"/>
      <c r="F91" s="94"/>
      <c r="G91" s="94"/>
      <c r="H91" s="94"/>
    </row>
    <row r="92" spans="1:8" ht="15">
      <c r="A92" s="96"/>
      <c r="B92" s="96"/>
      <c r="C92" s="96"/>
      <c r="D92" s="98">
        <v>7</v>
      </c>
      <c r="E92" s="94"/>
      <c r="F92" s="94"/>
      <c r="G92" s="94"/>
      <c r="H92" s="94"/>
    </row>
    <row r="93" spans="1:8" ht="15">
      <c r="A93" s="96"/>
      <c r="B93" s="96"/>
      <c r="C93" s="96"/>
      <c r="D93" s="98">
        <v>8</v>
      </c>
      <c r="E93" s="94"/>
      <c r="F93" s="94"/>
      <c r="G93" s="94"/>
      <c r="H93" s="94"/>
    </row>
    <row r="94" spans="1:8" ht="15">
      <c r="A94" s="96"/>
      <c r="B94" s="96"/>
      <c r="C94" s="96"/>
      <c r="D94" s="98">
        <v>9</v>
      </c>
      <c r="E94" s="94"/>
      <c r="F94" s="94"/>
      <c r="G94" s="94"/>
      <c r="H94" s="94"/>
    </row>
    <row r="95" spans="1:8" ht="15">
      <c r="A95" s="96"/>
      <c r="B95" s="96"/>
      <c r="C95" s="96"/>
      <c r="D95" s="98">
        <v>10</v>
      </c>
      <c r="E95" s="94"/>
      <c r="F95" s="94"/>
      <c r="G95" s="94"/>
      <c r="H95" s="94"/>
    </row>
    <row r="96" spans="1:8" ht="15">
      <c r="A96" s="96"/>
      <c r="B96" s="96"/>
      <c r="C96" s="96"/>
      <c r="D96" s="98">
        <v>11</v>
      </c>
      <c r="E96" s="94"/>
      <c r="F96" s="94"/>
      <c r="G96" s="94"/>
      <c r="H96" s="94"/>
    </row>
    <row r="97" spans="1:8" ht="15">
      <c r="A97" s="96"/>
      <c r="B97" s="96"/>
      <c r="C97" s="96"/>
      <c r="D97" s="98">
        <v>12</v>
      </c>
      <c r="E97" s="94"/>
      <c r="F97" s="94"/>
      <c r="G97" s="94"/>
      <c r="H97" s="94"/>
    </row>
    <row r="99" ht="15">
      <c r="A99" s="16" t="s">
        <v>161</v>
      </c>
    </row>
    <row r="101" spans="1:3" ht="15">
      <c r="A101" s="92" t="s">
        <v>162</v>
      </c>
      <c r="B101" s="92"/>
      <c r="C101" s="92" t="s">
        <v>163</v>
      </c>
    </row>
    <row r="102" spans="1:3" ht="15">
      <c r="A102" s="92"/>
      <c r="B102" s="92"/>
      <c r="C102" s="92"/>
    </row>
    <row r="103" spans="1:3" ht="15">
      <c r="A103" s="101" t="s">
        <v>164</v>
      </c>
      <c r="B103" s="101"/>
      <c r="C103" s="94"/>
    </row>
    <row r="104" spans="1:3" ht="15">
      <c r="A104" s="101" t="s">
        <v>165</v>
      </c>
      <c r="B104" s="101"/>
      <c r="C104" s="94"/>
    </row>
    <row r="105" spans="1:3" ht="15">
      <c r="A105" s="101" t="s">
        <v>166</v>
      </c>
      <c r="B105" s="101"/>
      <c r="C105" s="94">
        <v>1</v>
      </c>
    </row>
    <row r="106" spans="1:3" ht="15">
      <c r="A106" s="101" t="s">
        <v>167</v>
      </c>
      <c r="B106" s="101"/>
      <c r="C106" s="94">
        <v>1</v>
      </c>
    </row>
    <row r="107" spans="1:3" ht="15">
      <c r="A107" s="101" t="s">
        <v>168</v>
      </c>
      <c r="B107" s="101"/>
      <c r="C107" s="94"/>
    </row>
    <row r="110" ht="21" customHeight="1"/>
    <row r="113" spans="1:2" ht="15">
      <c r="A113" s="102"/>
      <c r="B113" s="48"/>
    </row>
    <row r="137" ht="15" customHeight="1"/>
  </sheetData>
  <sheetProtection selectLockedCells="1" selectUnlockedCells="1"/>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22"/>
  </sheetPr>
  <dimension ref="A1:N20"/>
  <sheetViews>
    <sheetView workbookViewId="0" topLeftCell="A4">
      <selection activeCell="B8" sqref="B8"/>
    </sheetView>
  </sheetViews>
  <sheetFormatPr defaultColWidth="9.140625" defaultRowHeight="12.75"/>
  <cols>
    <col min="1" max="1" width="6.28125" style="0" customWidth="1"/>
    <col min="2" max="2" width="17.28125" style="0" customWidth="1"/>
    <col min="3" max="3" width="8.140625" style="0" customWidth="1"/>
  </cols>
  <sheetData>
    <row r="1" ht="12.75">
      <c r="A1" s="114" t="s">
        <v>724</v>
      </c>
    </row>
    <row r="3" ht="13.5"/>
    <row r="4" spans="1:14" ht="15.75">
      <c r="A4" s="103" t="s">
        <v>725</v>
      </c>
      <c r="B4" s="48" t="s">
        <v>726</v>
      </c>
      <c r="K4" s="15" t="s">
        <v>16</v>
      </c>
      <c r="L4" s="15"/>
      <c r="M4" s="15"/>
      <c r="N4" s="15"/>
    </row>
    <row r="5" spans="11:14" ht="15">
      <c r="K5" s="17"/>
      <c r="L5" s="18"/>
      <c r="M5" s="18"/>
      <c r="N5" s="19"/>
    </row>
    <row r="6" spans="2:14" ht="15">
      <c r="B6" s="516"/>
      <c r="C6" s="516"/>
      <c r="D6" s="517" t="s">
        <v>727</v>
      </c>
      <c r="E6" s="517"/>
      <c r="F6" s="517"/>
      <c r="G6" s="517"/>
      <c r="H6" s="517"/>
      <c r="K6" s="20"/>
      <c r="L6" s="21"/>
      <c r="M6" s="22" t="s">
        <v>18</v>
      </c>
      <c r="N6" s="23"/>
    </row>
    <row r="7" spans="2:14" ht="15">
      <c r="B7" s="516"/>
      <c r="C7" s="516"/>
      <c r="D7" s="518">
        <v>0.25</v>
      </c>
      <c r="E7" s="518">
        <v>0.2777777777777778</v>
      </c>
      <c r="F7" s="518">
        <v>0.3055555555555555</v>
      </c>
      <c r="G7" s="518">
        <v>0.3194444444444445</v>
      </c>
      <c r="H7" s="518">
        <v>0.3333333333333333</v>
      </c>
      <c r="K7" s="20"/>
      <c r="L7" s="27"/>
      <c r="M7" s="22" t="s">
        <v>20</v>
      </c>
      <c r="N7" s="23"/>
    </row>
    <row r="8" spans="2:14" ht="15" customHeight="1">
      <c r="B8" s="519" t="s">
        <v>728</v>
      </c>
      <c r="C8" s="520">
        <v>0.5</v>
      </c>
      <c r="D8" s="521">
        <v>2.34181818181818</v>
      </c>
      <c r="E8" s="521">
        <v>2.10658307210031</v>
      </c>
      <c r="F8" s="521">
        <v>1.92</v>
      </c>
      <c r="G8" s="521">
        <v>1.83193078108332</v>
      </c>
      <c r="H8" s="521">
        <v>1.5</v>
      </c>
      <c r="K8" s="20"/>
      <c r="L8" s="28"/>
      <c r="M8" s="22" t="s">
        <v>22</v>
      </c>
      <c r="N8" s="23"/>
    </row>
    <row r="9" spans="2:14" ht="15.75">
      <c r="B9" s="519"/>
      <c r="C9" s="520">
        <v>0.5416666666666666</v>
      </c>
      <c r="D9" s="521">
        <v>2.68317746151612</v>
      </c>
      <c r="E9" s="521">
        <v>2.28213166144201</v>
      </c>
      <c r="F9" s="521">
        <v>2.07664640952499</v>
      </c>
      <c r="G9" s="521">
        <v>1.98459167950693</v>
      </c>
      <c r="H9" s="521">
        <v>1.90272727272727</v>
      </c>
      <c r="K9" s="29"/>
      <c r="L9" s="30"/>
      <c r="M9" s="30"/>
      <c r="N9" s="31"/>
    </row>
    <row r="10" spans="2:8" ht="15">
      <c r="B10" s="519"/>
      <c r="C10" s="520">
        <v>0.5833333333333334</v>
      </c>
      <c r="D10" s="521">
        <v>3.02453674121406</v>
      </c>
      <c r="E10" s="521">
        <v>2.54448426091921</v>
      </c>
      <c r="F10" s="521">
        <v>2.23638844102691</v>
      </c>
      <c r="G10" s="521">
        <v>2.13725257793054</v>
      </c>
      <c r="H10" s="521">
        <v>2.04909090909091</v>
      </c>
    </row>
    <row r="11" spans="2:8" ht="15">
      <c r="B11" s="519"/>
      <c r="C11" s="520">
        <v>0.625</v>
      </c>
      <c r="D11" s="521">
        <v>3.365896020912</v>
      </c>
      <c r="E11" s="521">
        <v>2.85155407773894</v>
      </c>
      <c r="F11" s="521">
        <v>2.43682131013794</v>
      </c>
      <c r="G11" s="521">
        <v>2.28991347635415</v>
      </c>
      <c r="H11" s="521">
        <v>2.19545454545455</v>
      </c>
    </row>
    <row r="12" spans="2:8" ht="15">
      <c r="B12" s="519"/>
      <c r="C12" s="520">
        <v>0.6666666666666666</v>
      </c>
      <c r="D12" s="521">
        <v>3.70725530060993</v>
      </c>
      <c r="E12" s="521">
        <v>3.15862389455868</v>
      </c>
      <c r="F12" s="521">
        <v>2.71624227578427</v>
      </c>
      <c r="G12" s="521">
        <v>2.51806104330499</v>
      </c>
      <c r="H12" s="521">
        <v>2.34181818181818</v>
      </c>
    </row>
    <row r="13" spans="2:8" ht="15">
      <c r="B13" s="519"/>
      <c r="C13" s="520">
        <v>0.7083333333333334</v>
      </c>
      <c r="D13" s="521">
        <v>4.04861458030787</v>
      </c>
      <c r="E13" s="521">
        <v>3.46569371137841</v>
      </c>
      <c r="F13" s="521">
        <v>2.9956632414306</v>
      </c>
      <c r="G13" s="521">
        <v>2.78509568192137</v>
      </c>
      <c r="H13" s="521">
        <v>2.59783764159164</v>
      </c>
    </row>
    <row r="14" spans="2:8" ht="15">
      <c r="B14" s="519"/>
      <c r="C14" s="520">
        <v>0.75</v>
      </c>
      <c r="D14" s="521">
        <v>4.38997386000581</v>
      </c>
      <c r="E14" s="521">
        <v>3.77276352819814</v>
      </c>
      <c r="F14" s="521">
        <v>3.27508420707694</v>
      </c>
      <c r="G14" s="521">
        <v>3.05213032053775</v>
      </c>
      <c r="H14" s="521">
        <v>2.85385710136509</v>
      </c>
    </row>
    <row r="15" spans="2:8" ht="15">
      <c r="B15" s="519"/>
      <c r="C15" s="520">
        <v>0.7916666666666666</v>
      </c>
      <c r="D15" s="521">
        <v>4.73133313970375</v>
      </c>
      <c r="E15" s="521">
        <v>4.07983334501788</v>
      </c>
      <c r="F15" s="521">
        <v>3.55450517272327</v>
      </c>
      <c r="G15" s="521">
        <v>3.31916495915413</v>
      </c>
      <c r="H15" s="521">
        <v>3.10987656113854</v>
      </c>
    </row>
    <row r="16" spans="2:8" ht="15">
      <c r="B16" s="519"/>
      <c r="C16" s="520">
        <v>0.8333333333333334</v>
      </c>
      <c r="D16" s="521">
        <v>5.07269241940168</v>
      </c>
      <c r="E16" s="521">
        <v>4.38690316183761</v>
      </c>
      <c r="F16" s="521">
        <v>3.8339261383696</v>
      </c>
      <c r="G16" s="521">
        <v>3.58619959777051</v>
      </c>
      <c r="H16" s="521">
        <v>3.365896020912</v>
      </c>
    </row>
    <row r="17" spans="2:8" ht="15">
      <c r="B17" s="519"/>
      <c r="C17" s="520">
        <v>0.875</v>
      </c>
      <c r="D17" s="521">
        <v>5.41405169909962</v>
      </c>
      <c r="E17" s="521">
        <v>4.69397297865735</v>
      </c>
      <c r="F17" s="521">
        <v>4.11334710401594</v>
      </c>
      <c r="G17" s="521">
        <v>3.85323423638689</v>
      </c>
      <c r="H17" s="521">
        <v>3.62191548068545</v>
      </c>
    </row>
    <row r="18" spans="2:8" ht="15">
      <c r="B18" s="519"/>
      <c r="C18" s="520">
        <v>0.9166666666666666</v>
      </c>
      <c r="D18" s="521">
        <v>5.75541097879756</v>
      </c>
      <c r="E18" s="521">
        <v>5.00104279547708</v>
      </c>
      <c r="F18" s="521">
        <v>4.39276806966227</v>
      </c>
      <c r="G18" s="521">
        <v>4.12026887500327</v>
      </c>
      <c r="H18" s="521">
        <v>3.8779349404589</v>
      </c>
    </row>
    <row r="19" spans="2:8" ht="15">
      <c r="B19" s="519"/>
      <c r="C19" s="520">
        <v>0.9583333333333334</v>
      </c>
      <c r="D19" s="521">
        <v>6.0967702584955</v>
      </c>
      <c r="E19" s="521">
        <v>5.30811261229681</v>
      </c>
      <c r="F19" s="521">
        <v>4.67218903530861</v>
      </c>
      <c r="G19" s="521">
        <v>4.38730351361965</v>
      </c>
      <c r="H19" s="521">
        <v>4.13395440023235</v>
      </c>
    </row>
    <row r="20" spans="2:8" ht="15">
      <c r="B20" s="519"/>
      <c r="C20" s="520">
        <v>0.9993055555555556</v>
      </c>
      <c r="D20" s="521">
        <v>6.298172233517282</v>
      </c>
      <c r="E20" s="521">
        <v>5.489283804220457</v>
      </c>
      <c r="F20" s="521">
        <v>4.83704740503994</v>
      </c>
      <c r="G20" s="521">
        <v>4.54485395040331</v>
      </c>
      <c r="H20" s="521">
        <v>4.285005881498693</v>
      </c>
    </row>
  </sheetData>
  <sheetProtection selectLockedCells="1" selectUnlockedCells="1"/>
  <mergeCells count="3">
    <mergeCell ref="K4:N4"/>
    <mergeCell ref="D6:H6"/>
    <mergeCell ref="B8:B20"/>
  </mergeCells>
  <hyperlinks>
    <hyperlink ref="A1" location="'2.1.c Insumos'!A1" display="ANEXO XII – FATORES DE UTILIZAÇÃO DE PESSOAL DE OPERAÇÃO E ENCARGOS SOCIAIS"/>
  </hyperlinks>
  <printOptions/>
  <pageMargins left="0.5118055555555556" right="0.5118055555555556" top="0.7875" bottom="0.78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C7" sqref="C7"/>
    </sheetView>
  </sheetViews>
  <sheetFormatPr defaultColWidth="9.140625" defaultRowHeight="12.75"/>
  <sheetData>
    <row r="1" ht="12.75">
      <c r="A1" s="522" t="s">
        <v>729</v>
      </c>
    </row>
    <row r="3" spans="1:2" ht="15">
      <c r="A3" s="523" t="s">
        <v>730</v>
      </c>
      <c r="B3" s="90" t="s">
        <v>731</v>
      </c>
    </row>
    <row r="4" ht="13.5"/>
    <row r="5" spans="3:11" ht="16.5">
      <c r="C5" s="524" t="s">
        <v>732</v>
      </c>
      <c r="D5" s="524" t="s">
        <v>733</v>
      </c>
      <c r="H5" s="15" t="s">
        <v>16</v>
      </c>
      <c r="I5" s="15"/>
      <c r="J5" s="15"/>
      <c r="K5" s="15"/>
    </row>
    <row r="6" spans="1:11" ht="15">
      <c r="A6" s="525" t="s">
        <v>734</v>
      </c>
      <c r="B6" s="525" t="s">
        <v>163</v>
      </c>
      <c r="C6" s="526" t="s">
        <v>735</v>
      </c>
      <c r="D6" s="526" t="s">
        <v>735</v>
      </c>
      <c r="H6" s="17"/>
      <c r="I6" s="18"/>
      <c r="J6" s="18"/>
      <c r="K6" s="19"/>
    </row>
    <row r="7" spans="1:11" ht="15">
      <c r="A7" s="525">
        <v>1</v>
      </c>
      <c r="B7" s="525" t="s">
        <v>736</v>
      </c>
      <c r="C7" s="527">
        <v>0.2914804689132874</v>
      </c>
      <c r="D7" s="527">
        <v>0.6412570316092323</v>
      </c>
      <c r="H7" s="20"/>
      <c r="I7" s="21"/>
      <c r="J7" s="22" t="s">
        <v>18</v>
      </c>
      <c r="K7" s="23"/>
    </row>
    <row r="8" spans="1:11" ht="15">
      <c r="A8" s="525">
        <v>2</v>
      </c>
      <c r="B8" s="525" t="s">
        <v>737</v>
      </c>
      <c r="C8" s="527">
        <v>0.28405714516057967</v>
      </c>
      <c r="D8" s="527">
        <v>0.5557639796620036</v>
      </c>
      <c r="H8" s="20"/>
      <c r="I8" s="27"/>
      <c r="J8" s="22" t="s">
        <v>20</v>
      </c>
      <c r="K8" s="23"/>
    </row>
    <row r="9" spans="1:11" ht="15">
      <c r="A9" s="525">
        <v>3</v>
      </c>
      <c r="B9" s="525" t="s">
        <v>738</v>
      </c>
      <c r="C9" s="527">
        <v>0.28737565533092746</v>
      </c>
      <c r="D9" s="527">
        <v>0.4872891546915726</v>
      </c>
      <c r="H9" s="20"/>
      <c r="I9" s="28"/>
      <c r="J9" s="22" t="s">
        <v>22</v>
      </c>
      <c r="K9" s="23"/>
    </row>
    <row r="10" spans="1:11" ht="15.75">
      <c r="A10" s="525">
        <v>4</v>
      </c>
      <c r="B10" s="525" t="s">
        <v>739</v>
      </c>
      <c r="C10" s="527">
        <v>0.27128360390981804</v>
      </c>
      <c r="D10" s="527">
        <v>0.41551033003908844</v>
      </c>
      <c r="H10" s="29"/>
      <c r="I10" s="30"/>
      <c r="J10" s="30"/>
      <c r="K10" s="31"/>
    </row>
    <row r="11" spans="1:4" ht="15">
      <c r="A11" s="525">
        <v>5</v>
      </c>
      <c r="B11" s="525" t="s">
        <v>740</v>
      </c>
      <c r="C11" s="527">
        <v>0.24073620237561813</v>
      </c>
      <c r="D11" s="527">
        <v>0.3512380657611478</v>
      </c>
    </row>
  </sheetData>
  <sheetProtection selectLockedCells="1" selectUnlockedCells="1"/>
  <mergeCells count="1">
    <mergeCell ref="H5:K5"/>
  </mergeCells>
  <hyperlinks>
    <hyperlink ref="A1" location="'2.1.c Insumos'!A1" display="ANEXO XIII – MÉTODO PARA CÁLCULO DAS DESPESAS COM PESSOAL DE MANUTENÇÃO, ADMINISTRATIVO E DIRETORIA"/>
  </hyperlinks>
  <printOptions/>
  <pageMargins left="0.5118055555555556" right="0.5118055555555556" top="0.7875" bottom="0.78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sheetPr>
    <tabColor indexed="22"/>
  </sheetPr>
  <dimension ref="A1:Y46"/>
  <sheetViews>
    <sheetView workbookViewId="0" topLeftCell="A13">
      <selection activeCell="E32" sqref="E32"/>
    </sheetView>
  </sheetViews>
  <sheetFormatPr defaultColWidth="9.140625" defaultRowHeight="12.75"/>
  <cols>
    <col min="1" max="1" width="11.421875" style="528" customWidth="1"/>
    <col min="2" max="2" width="10.00390625" style="516" customWidth="1"/>
    <col min="3" max="3" width="16.421875" style="516" customWidth="1"/>
    <col min="4" max="4" width="11.7109375" style="516" customWidth="1"/>
    <col min="5" max="5" width="10.00390625" style="516" customWidth="1"/>
    <col min="6" max="6" width="10.7109375" style="516" customWidth="1"/>
    <col min="7" max="7" width="9.28125" style="516" customWidth="1"/>
    <col min="8" max="8" width="11.28125" style="516" customWidth="1"/>
    <col min="9" max="9" width="9.28125" style="516" customWidth="1"/>
    <col min="10" max="10" width="10.7109375" style="516" customWidth="1"/>
    <col min="11" max="11" width="2.8515625" style="516" customWidth="1"/>
    <col min="12" max="12" width="8.00390625" style="516" customWidth="1"/>
    <col min="13" max="13" width="27.140625" style="516" customWidth="1"/>
    <col min="14" max="14" width="10.421875" style="516" customWidth="1"/>
    <col min="15" max="16" width="11.421875" style="516" customWidth="1"/>
    <col min="17" max="17" width="24.7109375" style="516" customWidth="1"/>
    <col min="18" max="18" width="11.28125" style="516" customWidth="1"/>
    <col min="19" max="21" width="11.421875" style="516" customWidth="1"/>
    <col min="22" max="22" width="9.57421875" style="516" customWidth="1"/>
    <col min="23" max="16384" width="11.421875" style="516" customWidth="1"/>
  </cols>
  <sheetData>
    <row r="1" ht="12.75">
      <c r="A1" s="522" t="s">
        <v>741</v>
      </c>
    </row>
    <row r="2" spans="1:5" ht="15">
      <c r="A2" s="529" t="s">
        <v>742</v>
      </c>
      <c r="B2" s="58" t="s">
        <v>743</v>
      </c>
      <c r="C2" s="58"/>
      <c r="D2" s="58"/>
      <c r="E2" s="58"/>
    </row>
    <row r="3" spans="2:5" ht="12.75">
      <c r="B3" s="68" t="s">
        <v>744</v>
      </c>
      <c r="C3" s="68"/>
      <c r="D3" s="62" t="s">
        <v>42</v>
      </c>
      <c r="E3" s="58" t="s">
        <v>745</v>
      </c>
    </row>
    <row r="4" spans="2:5" ht="12.75" customHeight="1">
      <c r="B4" s="530" t="s">
        <v>746</v>
      </c>
      <c r="C4" s="530"/>
      <c r="D4" s="62"/>
      <c r="E4" s="58" t="s">
        <v>747</v>
      </c>
    </row>
    <row r="6" spans="1:25" ht="15">
      <c r="A6" s="529"/>
      <c r="B6" s="531" t="s">
        <v>748</v>
      </c>
      <c r="P6" s="532"/>
      <c r="Q6" s="532"/>
      <c r="R6" s="532"/>
      <c r="S6" s="532"/>
      <c r="T6" s="532"/>
      <c r="U6" s="532"/>
      <c r="V6" s="532"/>
      <c r="W6" s="533"/>
      <c r="X6" s="533"/>
      <c r="Y6" s="533"/>
    </row>
    <row r="7" spans="16:25" ht="13.5" customHeight="1">
      <c r="P7" s="532"/>
      <c r="Q7" s="532"/>
      <c r="R7" s="532"/>
      <c r="S7" s="532"/>
      <c r="T7" s="532"/>
      <c r="U7" s="532"/>
      <c r="V7" s="532"/>
      <c r="W7" s="533"/>
      <c r="X7" s="533"/>
      <c r="Y7" s="533"/>
    </row>
    <row r="8" spans="11:25" ht="15.75">
      <c r="K8" s="534" t="s">
        <v>16</v>
      </c>
      <c r="L8" s="534"/>
      <c r="M8" s="534"/>
      <c r="N8" s="534"/>
      <c r="O8" s="535"/>
      <c r="P8" s="536"/>
      <c r="Q8" s="537"/>
      <c r="R8" s="537"/>
      <c r="S8" s="537"/>
      <c r="T8" s="537">
        <v>1</v>
      </c>
      <c r="U8" s="537"/>
      <c r="V8" s="537"/>
      <c r="W8" s="535"/>
      <c r="X8" s="535"/>
      <c r="Y8" s="533"/>
    </row>
    <row r="9" spans="11:25" ht="15">
      <c r="K9" s="538"/>
      <c r="L9" s="539"/>
      <c r="M9" s="540"/>
      <c r="N9" s="541"/>
      <c r="O9" s="535"/>
      <c r="P9" s="536"/>
      <c r="Q9" s="537"/>
      <c r="R9" s="537"/>
      <c r="S9" s="537"/>
      <c r="T9" s="537"/>
      <c r="U9" s="537"/>
      <c r="V9" s="537"/>
      <c r="W9" s="535"/>
      <c r="X9" s="535"/>
      <c r="Y9" s="532"/>
    </row>
    <row r="10" spans="6:25" ht="15">
      <c r="F10" s="542"/>
      <c r="G10" s="542"/>
      <c r="H10" s="542"/>
      <c r="I10" s="542"/>
      <c r="J10" s="542"/>
      <c r="K10" s="543"/>
      <c r="L10" s="21"/>
      <c r="M10" s="544" t="s">
        <v>18</v>
      </c>
      <c r="N10" s="545"/>
      <c r="O10" s="535"/>
      <c r="P10" s="536"/>
      <c r="Q10" s="546" t="s">
        <v>749</v>
      </c>
      <c r="R10" s="546" t="s">
        <v>750</v>
      </c>
      <c r="S10" s="546" t="s">
        <v>751</v>
      </c>
      <c r="T10" s="546" t="s">
        <v>752</v>
      </c>
      <c r="U10" s="537"/>
      <c r="V10" s="546"/>
      <c r="W10" s="535"/>
      <c r="X10" s="535"/>
      <c r="Y10" s="532"/>
    </row>
    <row r="11" spans="11:25" ht="15">
      <c r="K11" s="543"/>
      <c r="L11" s="27"/>
      <c r="M11" s="544" t="s">
        <v>20</v>
      </c>
      <c r="N11" s="545"/>
      <c r="O11" s="535"/>
      <c r="P11" s="536"/>
      <c r="Q11" s="547">
        <v>0.95</v>
      </c>
      <c r="R11" s="548">
        <v>0.0502</v>
      </c>
      <c r="S11" s="548">
        <v>0.0731</v>
      </c>
      <c r="T11" s="548">
        <v>0.12</v>
      </c>
      <c r="U11" s="537"/>
      <c r="V11" s="549"/>
      <c r="W11" s="535"/>
      <c r="X11" s="535"/>
      <c r="Y11" s="532"/>
    </row>
    <row r="12" spans="11:25" ht="15">
      <c r="K12" s="543"/>
      <c r="L12" s="28"/>
      <c r="M12" s="544" t="s">
        <v>22</v>
      </c>
      <c r="N12" s="545"/>
      <c r="O12" s="535"/>
      <c r="P12" s="536"/>
      <c r="Q12" s="547">
        <v>0.9</v>
      </c>
      <c r="R12" s="548">
        <v>0.0393</v>
      </c>
      <c r="S12" s="548">
        <v>0.0571</v>
      </c>
      <c r="T12" s="548">
        <v>0.0938</v>
      </c>
      <c r="U12" s="537"/>
      <c r="V12" s="549"/>
      <c r="W12" s="535"/>
      <c r="X12" s="535"/>
      <c r="Y12" s="532"/>
    </row>
    <row r="13" spans="11:25" ht="15.75">
      <c r="K13" s="550"/>
      <c r="L13" s="551"/>
      <c r="M13" s="552"/>
      <c r="N13" s="553"/>
      <c r="O13" s="535"/>
      <c r="P13" s="536"/>
      <c r="Q13" s="547">
        <v>0.85</v>
      </c>
      <c r="R13" s="548">
        <v>0.0315</v>
      </c>
      <c r="S13" s="548">
        <v>0.0458</v>
      </c>
      <c r="T13" s="548">
        <v>0.0753</v>
      </c>
      <c r="U13" s="537"/>
      <c r="V13" s="549"/>
      <c r="W13" s="535"/>
      <c r="X13" s="535"/>
      <c r="Y13" s="532"/>
    </row>
    <row r="14" spans="13:25" ht="15">
      <c r="M14" s="532"/>
      <c r="N14" s="532"/>
      <c r="O14" s="535"/>
      <c r="P14" s="536"/>
      <c r="Q14" s="547"/>
      <c r="R14" s="548"/>
      <c r="S14" s="548"/>
      <c r="T14" s="548"/>
      <c r="U14" s="537"/>
      <c r="V14" s="549"/>
      <c r="W14" s="535"/>
      <c r="X14" s="535"/>
      <c r="Y14" s="532"/>
    </row>
    <row r="15" spans="13:25" ht="15">
      <c r="M15" s="532"/>
      <c r="N15" s="532"/>
      <c r="O15" s="535"/>
      <c r="P15" s="554"/>
      <c r="Q15" s="555"/>
      <c r="R15" s="548"/>
      <c r="S15" s="548"/>
      <c r="T15" s="548"/>
      <c r="U15" s="556"/>
      <c r="V15" s="556"/>
      <c r="W15" s="535"/>
      <c r="X15" s="535"/>
      <c r="Y15" s="532"/>
    </row>
    <row r="16" spans="13:25" ht="12.75">
      <c r="M16" s="532"/>
      <c r="N16" s="532"/>
      <c r="O16" s="535"/>
      <c r="P16" s="554"/>
      <c r="Q16" s="556"/>
      <c r="R16" s="557" t="s">
        <v>749</v>
      </c>
      <c r="S16" s="558" t="s">
        <v>749</v>
      </c>
      <c r="T16" s="558" t="s">
        <v>753</v>
      </c>
      <c r="U16" s="536"/>
      <c r="V16" s="556"/>
      <c r="W16" s="535"/>
      <c r="X16" s="535"/>
      <c r="Y16" s="532"/>
    </row>
    <row r="17" spans="13:25" ht="12.75" customHeight="1">
      <c r="M17" s="532"/>
      <c r="N17" s="532"/>
      <c r="O17" s="535"/>
      <c r="P17" s="554"/>
      <c r="Q17" s="559" t="s">
        <v>754</v>
      </c>
      <c r="R17" s="558" t="s">
        <v>750</v>
      </c>
      <c r="S17" s="560">
        <f>R11</f>
        <v>0.0502</v>
      </c>
      <c r="T17" s="561">
        <f aca="true" t="shared" si="0" ref="T17:T25">S17</f>
        <v>0.0502</v>
      </c>
      <c r="U17" s="536"/>
      <c r="V17" s="556"/>
      <c r="W17" s="535"/>
      <c r="X17" s="535"/>
      <c r="Y17" s="532"/>
    </row>
    <row r="18" spans="13:25" ht="12.75">
      <c r="M18" s="532"/>
      <c r="N18" s="532"/>
      <c r="O18" s="535"/>
      <c r="P18" s="554"/>
      <c r="Q18" s="559"/>
      <c r="R18" s="558" t="s">
        <v>751</v>
      </c>
      <c r="S18" s="560">
        <f>S11</f>
        <v>0.0731</v>
      </c>
      <c r="T18" s="561">
        <f t="shared" si="0"/>
        <v>0.0731</v>
      </c>
      <c r="U18" s="536"/>
      <c r="V18" s="556"/>
      <c r="W18" s="535"/>
      <c r="X18" s="535"/>
      <c r="Y18" s="532"/>
    </row>
    <row r="19" spans="13:25" ht="12.75">
      <c r="M19" s="532"/>
      <c r="N19" s="532"/>
      <c r="O19" s="535"/>
      <c r="P19" s="554"/>
      <c r="Q19" s="559"/>
      <c r="R19" s="558" t="s">
        <v>752</v>
      </c>
      <c r="S19" s="560">
        <f>T11</f>
        <v>0.12</v>
      </c>
      <c r="T19" s="561">
        <f t="shared" si="0"/>
        <v>0.12</v>
      </c>
      <c r="U19" s="536"/>
      <c r="V19" s="556"/>
      <c r="W19" s="535"/>
      <c r="X19" s="535"/>
      <c r="Y19" s="532"/>
    </row>
    <row r="20" spans="13:25" ht="12.75">
      <c r="M20" s="532"/>
      <c r="N20" s="532"/>
      <c r="O20" s="535"/>
      <c r="P20" s="554"/>
      <c r="Q20" s="559" t="s">
        <v>755</v>
      </c>
      <c r="R20" s="558" t="s">
        <v>750</v>
      </c>
      <c r="S20" s="560">
        <f>R12</f>
        <v>0.0393</v>
      </c>
      <c r="T20" s="561">
        <f t="shared" si="0"/>
        <v>0.0393</v>
      </c>
      <c r="U20" s="536"/>
      <c r="V20" s="556"/>
      <c r="W20" s="535"/>
      <c r="X20" s="535"/>
      <c r="Y20" s="532"/>
    </row>
    <row r="21" spans="13:25" ht="12.75">
      <c r="M21" s="532"/>
      <c r="N21" s="532"/>
      <c r="O21" s="535"/>
      <c r="P21" s="554"/>
      <c r="Q21" s="559"/>
      <c r="R21" s="558" t="s">
        <v>751</v>
      </c>
      <c r="S21" s="560">
        <f>S12</f>
        <v>0.0571</v>
      </c>
      <c r="T21" s="561">
        <f t="shared" si="0"/>
        <v>0.0571</v>
      </c>
      <c r="U21" s="536"/>
      <c r="V21" s="556"/>
      <c r="W21" s="535"/>
      <c r="X21" s="535"/>
      <c r="Y21" s="532"/>
    </row>
    <row r="22" spans="13:25" ht="12.75" customHeight="1">
      <c r="M22" s="532"/>
      <c r="N22" s="532"/>
      <c r="O22" s="535"/>
      <c r="P22" s="554"/>
      <c r="Q22" s="559"/>
      <c r="R22" s="558" t="s">
        <v>752</v>
      </c>
      <c r="S22" s="560">
        <f>T12</f>
        <v>0.0938</v>
      </c>
      <c r="T22" s="561">
        <f t="shared" si="0"/>
        <v>0.0938</v>
      </c>
      <c r="U22" s="536"/>
      <c r="V22" s="556"/>
      <c r="W22" s="535"/>
      <c r="X22" s="535"/>
      <c r="Y22" s="532"/>
    </row>
    <row r="23" spans="13:25" ht="12.75">
      <c r="M23" s="532"/>
      <c r="N23" s="532"/>
      <c r="O23" s="535"/>
      <c r="P23" s="554"/>
      <c r="Q23" s="559" t="s">
        <v>756</v>
      </c>
      <c r="R23" s="558" t="s">
        <v>750</v>
      </c>
      <c r="S23" s="560">
        <f>R13</f>
        <v>0.0315</v>
      </c>
      <c r="T23" s="561">
        <f t="shared" si="0"/>
        <v>0.0315</v>
      </c>
      <c r="U23" s="536"/>
      <c r="V23" s="556"/>
      <c r="W23" s="535"/>
      <c r="X23" s="535"/>
      <c r="Y23" s="532"/>
    </row>
    <row r="24" spans="13:25" ht="12.75">
      <c r="M24" s="532"/>
      <c r="N24" s="532"/>
      <c r="O24" s="535"/>
      <c r="P24" s="554"/>
      <c r="Q24" s="559"/>
      <c r="R24" s="558" t="s">
        <v>751</v>
      </c>
      <c r="S24" s="560">
        <f>S13</f>
        <v>0.0458</v>
      </c>
      <c r="T24" s="561">
        <f t="shared" si="0"/>
        <v>0.0458</v>
      </c>
      <c r="U24" s="536"/>
      <c r="V24" s="556"/>
      <c r="W24" s="535"/>
      <c r="X24" s="535"/>
      <c r="Y24" s="532"/>
    </row>
    <row r="25" spans="13:25" ht="12.75">
      <c r="M25" s="532"/>
      <c r="N25" s="532"/>
      <c r="O25" s="535"/>
      <c r="P25" s="554"/>
      <c r="Q25" s="537"/>
      <c r="R25" s="558" t="s">
        <v>752</v>
      </c>
      <c r="S25" s="560">
        <f>T13</f>
        <v>0.0753</v>
      </c>
      <c r="T25" s="561">
        <f t="shared" si="0"/>
        <v>0.0753</v>
      </c>
      <c r="U25" s="536"/>
      <c r="V25" s="556"/>
      <c r="W25" s="535"/>
      <c r="X25" s="535"/>
      <c r="Y25" s="532"/>
    </row>
    <row r="26" spans="13:25" ht="12.75">
      <c r="M26" s="532"/>
      <c r="N26" s="532"/>
      <c r="O26" s="535"/>
      <c r="P26" s="554"/>
      <c r="Q26" s="559"/>
      <c r="R26" s="556"/>
      <c r="S26" s="560"/>
      <c r="T26" s="560"/>
      <c r="U26" s="561"/>
      <c r="V26" s="556"/>
      <c r="W26" s="535"/>
      <c r="X26" s="535"/>
      <c r="Y26" s="532"/>
    </row>
    <row r="27" spans="13:25" ht="12.75" customHeight="1">
      <c r="M27" s="532"/>
      <c r="N27" s="532"/>
      <c r="O27" s="535"/>
      <c r="P27" s="554"/>
      <c r="Q27" s="559"/>
      <c r="R27" s="556"/>
      <c r="S27" s="560"/>
      <c r="T27" s="560"/>
      <c r="U27" s="561"/>
      <c r="V27" s="556"/>
      <c r="W27" s="535"/>
      <c r="X27" s="535"/>
      <c r="Y27" s="532"/>
    </row>
    <row r="28" spans="1:25" ht="15">
      <c r="A28" s="529" t="s">
        <v>757</v>
      </c>
      <c r="B28" s="531" t="s">
        <v>758</v>
      </c>
      <c r="M28" s="532"/>
      <c r="N28" s="532"/>
      <c r="O28" s="535"/>
      <c r="P28" s="554"/>
      <c r="Q28" s="559"/>
      <c r="R28" s="556"/>
      <c r="S28" s="560"/>
      <c r="T28" s="560"/>
      <c r="U28" s="561"/>
      <c r="V28" s="556"/>
      <c r="W28" s="535"/>
      <c r="X28" s="535"/>
      <c r="Y28" s="532"/>
    </row>
    <row r="29" spans="13:25" ht="17.25" customHeight="1">
      <c r="M29" s="532"/>
      <c r="N29" s="532"/>
      <c r="O29" s="535"/>
      <c r="P29" s="562"/>
      <c r="Q29" s="563"/>
      <c r="R29" s="564"/>
      <c r="S29" s="565"/>
      <c r="T29" s="565"/>
      <c r="U29" s="566"/>
      <c r="V29" s="564"/>
      <c r="W29" s="535"/>
      <c r="X29" s="535"/>
      <c r="Y29" s="532"/>
    </row>
    <row r="30" spans="13:25" ht="17.25" customHeight="1">
      <c r="M30" s="532"/>
      <c r="N30" s="532"/>
      <c r="O30" s="535"/>
      <c r="P30" s="562"/>
      <c r="Q30" s="563"/>
      <c r="R30" s="564"/>
      <c r="S30" s="565"/>
      <c r="T30" s="565"/>
      <c r="U30" s="566"/>
      <c r="V30" s="564"/>
      <c r="W30" s="535"/>
      <c r="X30" s="535"/>
      <c r="Y30" s="532"/>
    </row>
    <row r="31" spans="2:25" ht="12.75">
      <c r="B31" s="567" t="s">
        <v>759</v>
      </c>
      <c r="C31" s="568" t="s">
        <v>760</v>
      </c>
      <c r="D31" s="569" t="s">
        <v>761</v>
      </c>
      <c r="M31" s="532"/>
      <c r="N31" s="532"/>
      <c r="O31" s="535"/>
      <c r="P31" s="562"/>
      <c r="Q31" s="563"/>
      <c r="R31" s="564"/>
      <c r="S31" s="565"/>
      <c r="T31" s="565"/>
      <c r="U31" s="566"/>
      <c r="V31" s="564"/>
      <c r="W31" s="535"/>
      <c r="X31" s="535"/>
      <c r="Y31" s="532"/>
    </row>
    <row r="32" spans="2:25" ht="23.25" customHeight="1">
      <c r="B32" s="570">
        <f>IF(T8=1,R11,IF(T8=2,R12,IF(T8=3,R13,IF(T8=4,R14,"ERROR"))))</f>
        <v>0.0502</v>
      </c>
      <c r="C32" s="571">
        <f>IF(T8=1,S11,IF(T8=2,S12,IF(T8=3,S13,IF(T8=4,S14,"ERROR"))))</f>
        <v>0.0731</v>
      </c>
      <c r="D32" s="572">
        <f>IF(T8=1,T11,IF(T8=2,T12,IF(T8=3,T13,IF(T8=4,T14,"ERROR"))))</f>
        <v>0.12</v>
      </c>
      <c r="M32" s="532"/>
      <c r="N32" s="532"/>
      <c r="O32" s="535"/>
      <c r="P32" s="562"/>
      <c r="Q32" s="573"/>
      <c r="R32" s="573"/>
      <c r="S32" s="573"/>
      <c r="T32" s="573"/>
      <c r="U32" s="573"/>
      <c r="V32" s="564"/>
      <c r="W32" s="535"/>
      <c r="X32" s="535"/>
      <c r="Y32" s="532"/>
    </row>
    <row r="33" spans="2:25" ht="21.75" customHeight="1">
      <c r="B33" s="574" t="s">
        <v>762</v>
      </c>
      <c r="C33" s="574"/>
      <c r="D33" s="574"/>
      <c r="M33" s="532"/>
      <c r="N33" s="532"/>
      <c r="O33" s="535"/>
      <c r="P33" s="562"/>
      <c r="Q33" s="532"/>
      <c r="R33" s="532"/>
      <c r="S33" s="532"/>
      <c r="T33" s="532"/>
      <c r="U33" s="532"/>
      <c r="V33" s="562"/>
      <c r="W33" s="535"/>
      <c r="X33" s="535"/>
      <c r="Y33" s="532"/>
    </row>
    <row r="34" spans="13:25" ht="12.75" customHeight="1">
      <c r="M34" s="532"/>
      <c r="N34" s="532"/>
      <c r="O34" s="535"/>
      <c r="P34" s="562"/>
      <c r="Q34" s="532"/>
      <c r="R34" s="532"/>
      <c r="S34" s="532"/>
      <c r="T34" s="532"/>
      <c r="U34" s="532"/>
      <c r="V34" s="562"/>
      <c r="W34" s="535"/>
      <c r="X34" s="535"/>
      <c r="Y34" s="532"/>
    </row>
    <row r="35" spans="1:25" ht="15">
      <c r="A35" s="529" t="s">
        <v>763</v>
      </c>
      <c r="B35" s="531" t="s">
        <v>764</v>
      </c>
      <c r="M35" s="532"/>
      <c r="N35" s="532"/>
      <c r="O35" s="535"/>
      <c r="P35" s="562"/>
      <c r="Q35" s="532"/>
      <c r="R35" s="532"/>
      <c r="S35" s="532"/>
      <c r="T35" s="532"/>
      <c r="U35" s="532"/>
      <c r="V35" s="562"/>
      <c r="W35" s="535"/>
      <c r="X35" s="535"/>
      <c r="Y35" s="532"/>
    </row>
    <row r="36" spans="2:25" ht="15">
      <c r="B36" s="575" t="s">
        <v>765</v>
      </c>
      <c r="C36" s="576">
        <v>0.0731</v>
      </c>
      <c r="M36" s="532"/>
      <c r="N36" s="532"/>
      <c r="O36" s="535"/>
      <c r="P36" s="562"/>
      <c r="Q36" s="532"/>
      <c r="R36" s="532"/>
      <c r="S36" s="532"/>
      <c r="T36" s="532"/>
      <c r="U36" s="532"/>
      <c r="V36" s="562"/>
      <c r="W36" s="535"/>
      <c r="X36" s="535"/>
      <c r="Y36" s="532"/>
    </row>
    <row r="37" spans="13:25" ht="12.75">
      <c r="M37" s="532"/>
      <c r="N37" s="532"/>
      <c r="O37" s="535"/>
      <c r="P37" s="562"/>
      <c r="Q37" s="532"/>
      <c r="R37" s="532"/>
      <c r="S37" s="532"/>
      <c r="T37" s="532"/>
      <c r="U37" s="532"/>
      <c r="V37" s="562"/>
      <c r="W37" s="535"/>
      <c r="X37" s="535"/>
      <c r="Y37" s="532"/>
    </row>
    <row r="38" spans="13:25" ht="12.75">
      <c r="M38" s="532"/>
      <c r="N38" s="532"/>
      <c r="O38" s="535"/>
      <c r="P38" s="577"/>
      <c r="Q38" s="577"/>
      <c r="R38" s="577"/>
      <c r="S38" s="577"/>
      <c r="T38" s="577"/>
      <c r="U38" s="577"/>
      <c r="V38" s="577"/>
      <c r="W38" s="535"/>
      <c r="X38" s="535"/>
      <c r="Y38" s="532"/>
    </row>
    <row r="39" spans="1:25" ht="15">
      <c r="A39" s="529" t="s">
        <v>766</v>
      </c>
      <c r="B39" s="531" t="s">
        <v>767</v>
      </c>
      <c r="M39" s="532"/>
      <c r="N39" s="532"/>
      <c r="O39" s="535"/>
      <c r="P39" s="577"/>
      <c r="Q39" s="577"/>
      <c r="R39" s="577"/>
      <c r="S39" s="577"/>
      <c r="T39" s="577"/>
      <c r="U39" s="577"/>
      <c r="V39" s="577"/>
      <c r="W39" s="535"/>
      <c r="X39" s="535"/>
      <c r="Y39" s="532"/>
    </row>
    <row r="40" spans="2:25" ht="15">
      <c r="B40" s="578" t="s">
        <v>768</v>
      </c>
      <c r="C40" s="579">
        <f>C36</f>
        <v>0.0731</v>
      </c>
      <c r="M40" s="532"/>
      <c r="N40" s="532"/>
      <c r="O40" s="535"/>
      <c r="P40" s="577"/>
      <c r="Q40" s="577"/>
      <c r="R40" s="577"/>
      <c r="S40" s="577"/>
      <c r="T40" s="577"/>
      <c r="U40" s="577"/>
      <c r="V40" s="577"/>
      <c r="W40" s="535"/>
      <c r="X40" s="535"/>
      <c r="Y40" s="532"/>
    </row>
    <row r="41" spans="13:25" ht="12.75">
      <c r="M41" s="532"/>
      <c r="N41" s="532"/>
      <c r="O41" s="535"/>
      <c r="P41" s="535"/>
      <c r="Q41" s="535"/>
      <c r="R41" s="535"/>
      <c r="S41" s="535"/>
      <c r="T41" s="535"/>
      <c r="U41" s="535"/>
      <c r="V41" s="535"/>
      <c r="W41" s="535"/>
      <c r="X41" s="535"/>
      <c r="Y41" s="532"/>
    </row>
    <row r="42" spans="13:25" ht="12.75">
      <c r="M42" s="532"/>
      <c r="N42" s="532"/>
      <c r="O42" s="532"/>
      <c r="P42" s="532"/>
      <c r="Q42" s="532"/>
      <c r="R42" s="532"/>
      <c r="S42" s="532"/>
      <c r="T42" s="532"/>
      <c r="U42" s="532"/>
      <c r="V42" s="532"/>
      <c r="W42" s="532"/>
      <c r="X42" s="532"/>
      <c r="Y42" s="532"/>
    </row>
    <row r="43" spans="13:25" ht="12.75">
      <c r="M43" s="532"/>
      <c r="N43" s="532"/>
      <c r="O43" s="532"/>
      <c r="P43" s="532"/>
      <c r="Q43" s="532"/>
      <c r="R43" s="532"/>
      <c r="S43" s="532"/>
      <c r="T43" s="532"/>
      <c r="U43" s="532"/>
      <c r="V43" s="532"/>
      <c r="W43" s="532"/>
      <c r="X43" s="532"/>
      <c r="Y43" s="532"/>
    </row>
    <row r="44" spans="13:25" ht="12.75">
      <c r="M44" s="532"/>
      <c r="N44" s="532"/>
      <c r="O44" s="532"/>
      <c r="P44" s="532"/>
      <c r="Q44" s="532"/>
      <c r="R44" s="532"/>
      <c r="S44" s="532"/>
      <c r="T44" s="532"/>
      <c r="U44" s="532"/>
      <c r="V44" s="532"/>
      <c r="W44" s="532"/>
      <c r="X44" s="532"/>
      <c r="Y44" s="532"/>
    </row>
    <row r="45" spans="13:25" ht="12.75">
      <c r="M45" s="532"/>
      <c r="N45" s="532"/>
      <c r="O45" s="532"/>
      <c r="P45" s="532"/>
      <c r="Q45" s="532"/>
      <c r="R45" s="532"/>
      <c r="S45" s="532"/>
      <c r="T45" s="532"/>
      <c r="U45" s="532"/>
      <c r="V45" s="532"/>
      <c r="W45" s="532"/>
      <c r="X45" s="532"/>
      <c r="Y45" s="532"/>
    </row>
    <row r="46" spans="13:25" ht="12.75">
      <c r="M46" s="532"/>
      <c r="N46" s="532"/>
      <c r="O46" s="532"/>
      <c r="P46" s="532"/>
      <c r="Q46" s="532"/>
      <c r="R46" s="532"/>
      <c r="S46" s="532"/>
      <c r="T46" s="532"/>
      <c r="U46" s="532"/>
      <c r="V46" s="532"/>
      <c r="W46" s="532"/>
      <c r="X46" s="532"/>
      <c r="Y46" s="532"/>
    </row>
  </sheetData>
  <sheetProtection selectLockedCells="1" selectUnlockedCells="1"/>
  <mergeCells count="4">
    <mergeCell ref="B3:C3"/>
    <mergeCell ref="B4:C4"/>
    <mergeCell ref="K8:N8"/>
    <mergeCell ref="B33:D33"/>
  </mergeCells>
  <conditionalFormatting sqref="B32">
    <cfRule type="cellIs" priority="1" dxfId="0" operator="equal" stopIfTrue="1">
      <formula>$R$13</formula>
    </cfRule>
    <cfRule type="cellIs" priority="2" dxfId="1" operator="equal" stopIfTrue="1">
      <formula>$R$14</formula>
    </cfRule>
    <cfRule type="cellIs" priority="3" dxfId="2" operator="equal" stopIfTrue="1">
      <formula>$R$12</formula>
    </cfRule>
  </conditionalFormatting>
  <conditionalFormatting sqref="C32">
    <cfRule type="cellIs" priority="4" dxfId="0" operator="equal" stopIfTrue="1">
      <formula>$S$13</formula>
    </cfRule>
    <cfRule type="cellIs" priority="5" dxfId="3" operator="equal" stopIfTrue="1">
      <formula>$S$14</formula>
    </cfRule>
    <cfRule type="cellIs" priority="6" dxfId="4" operator="equal" stopIfTrue="1">
      <formula>$S$12</formula>
    </cfRule>
  </conditionalFormatting>
  <conditionalFormatting sqref="D32">
    <cfRule type="cellIs" priority="7" dxfId="5" operator="equal" stopIfTrue="1">
      <formula>$T$13</formula>
    </cfRule>
    <cfRule type="cellIs" priority="8" dxfId="3" operator="equal" stopIfTrue="1">
      <formula>$T$14</formula>
    </cfRule>
    <cfRule type="cellIs" priority="9" dxfId="4" operator="equal" stopIfTrue="1">
      <formula>$T$12</formula>
    </cfRule>
  </conditionalFormatting>
  <hyperlinks>
    <hyperlink ref="A1" location="'2.1.c Insumos'!A1" display="ANEXO XV – MÉTODO DE CÁLCULO DO FATOR DE RISCO"/>
  </hyperlinks>
  <printOptions/>
  <pageMargins left="0.5118055555555556" right="0.5118055555555556" top="0.7875" bottom="0.7875" header="0.5118110236220472" footer="0.5118110236220472"/>
  <pageSetup horizontalDpi="300" verticalDpi="300" orientation="portrait" paperSize="9"/>
  <drawing r:id="rId2"/>
  <legacyDrawing r:id="rId1"/>
</worksheet>
</file>

<file path=xl/worksheets/sheet43.xml><?xml version="1.0" encoding="utf-8"?>
<worksheet xmlns="http://schemas.openxmlformats.org/spreadsheetml/2006/main" xmlns:r="http://schemas.openxmlformats.org/officeDocument/2006/relationships">
  <sheetPr>
    <tabColor indexed="47"/>
  </sheetPr>
  <dimension ref="A1:O132"/>
  <sheetViews>
    <sheetView workbookViewId="0" topLeftCell="A1">
      <selection activeCell="J8" sqref="J8"/>
    </sheetView>
  </sheetViews>
  <sheetFormatPr defaultColWidth="9.140625" defaultRowHeight="12.75"/>
  <cols>
    <col min="1" max="1" width="11.421875" style="516" customWidth="1"/>
    <col min="2" max="3" width="20.421875" style="580" customWidth="1"/>
    <col min="4" max="4" width="30.57421875" style="580" customWidth="1"/>
    <col min="5" max="5" width="30.00390625" style="580" customWidth="1"/>
    <col min="6" max="6" width="25.57421875" style="580" customWidth="1"/>
    <col min="7" max="7" width="36.421875" style="580" customWidth="1"/>
    <col min="8" max="8" width="26.00390625" style="580" customWidth="1"/>
    <col min="9" max="9" width="27.421875" style="580" customWidth="1"/>
    <col min="10" max="10" width="34.8515625" style="580" customWidth="1"/>
    <col min="11" max="11" width="11.421875" style="516" customWidth="1"/>
    <col min="12" max="12" width="11.421875" style="580" customWidth="1"/>
    <col min="13" max="14" width="11.421875" style="516" customWidth="1"/>
    <col min="15" max="15" width="30.28125" style="516" customWidth="1"/>
    <col min="16" max="16384" width="11.421875" style="516" customWidth="1"/>
  </cols>
  <sheetData>
    <row r="1" ht="13.5">
      <c r="A1" s="581" t="s">
        <v>741</v>
      </c>
    </row>
    <row r="2" spans="2:15" ht="15.75">
      <c r="B2" s="582"/>
      <c r="C2" s="582" t="s">
        <v>742</v>
      </c>
      <c r="D2" s="583" t="s">
        <v>769</v>
      </c>
      <c r="L2" s="534" t="s">
        <v>16</v>
      </c>
      <c r="M2" s="534"/>
      <c r="N2" s="534"/>
      <c r="O2" s="534"/>
    </row>
    <row r="3" spans="2:15" ht="15">
      <c r="B3" s="582"/>
      <c r="C3" s="582"/>
      <c r="D3" s="583"/>
      <c r="L3" s="584"/>
      <c r="M3" s="539"/>
      <c r="N3" s="539"/>
      <c r="O3" s="585"/>
    </row>
    <row r="4" spans="12:15" ht="15">
      <c r="L4" s="586"/>
      <c r="M4" s="21"/>
      <c r="N4" s="587" t="s">
        <v>18</v>
      </c>
      <c r="O4" s="588"/>
    </row>
    <row r="5" spans="2:15" ht="15">
      <c r="B5" s="582"/>
      <c r="C5" s="582" t="s">
        <v>770</v>
      </c>
      <c r="D5" s="583" t="s">
        <v>771</v>
      </c>
      <c r="L5" s="586"/>
      <c r="M5" s="27"/>
      <c r="N5" s="587" t="s">
        <v>20</v>
      </c>
      <c r="O5" s="588"/>
    </row>
    <row r="6" spans="12:15" ht="15">
      <c r="L6" s="586"/>
      <c r="M6" s="28"/>
      <c r="N6" s="587" t="s">
        <v>22</v>
      </c>
      <c r="O6" s="588"/>
    </row>
    <row r="7" spans="2:15" ht="29.25" customHeight="1">
      <c r="B7" s="589" t="s">
        <v>749</v>
      </c>
      <c r="C7" s="589" t="s">
        <v>772</v>
      </c>
      <c r="D7" s="589" t="s">
        <v>773</v>
      </c>
      <c r="E7" s="590" t="s">
        <v>774</v>
      </c>
      <c r="F7" s="590" t="s">
        <v>775</v>
      </c>
      <c r="G7" s="590" t="s">
        <v>776</v>
      </c>
      <c r="H7" s="590" t="s">
        <v>760</v>
      </c>
      <c r="I7" s="590" t="s">
        <v>761</v>
      </c>
      <c r="J7" s="590" t="s">
        <v>777</v>
      </c>
      <c r="L7" s="591"/>
      <c r="M7" s="551"/>
      <c r="N7" s="551"/>
      <c r="O7" s="592"/>
    </row>
    <row r="8" spans="2:12" ht="107.25" customHeight="1">
      <c r="B8" s="593" t="s">
        <v>778</v>
      </c>
      <c r="C8" s="593" t="s">
        <v>779</v>
      </c>
      <c r="D8" s="594" t="s">
        <v>780</v>
      </c>
      <c r="E8" s="593" t="s">
        <v>781</v>
      </c>
      <c r="F8" s="593" t="s">
        <v>782</v>
      </c>
      <c r="G8" s="593" t="s">
        <v>783</v>
      </c>
      <c r="H8" s="593" t="s">
        <v>784</v>
      </c>
      <c r="I8" s="593" t="s">
        <v>785</v>
      </c>
      <c r="J8" s="21"/>
      <c r="K8" s="595">
        <v>1</v>
      </c>
      <c r="L8" s="596">
        <v>1</v>
      </c>
    </row>
    <row r="9" spans="2:12" ht="106.5" customHeight="1">
      <c r="B9" s="593" t="s">
        <v>786</v>
      </c>
      <c r="C9" s="593"/>
      <c r="D9" s="594" t="s">
        <v>787</v>
      </c>
      <c r="E9" s="593" t="s">
        <v>788</v>
      </c>
      <c r="F9" s="593" t="s">
        <v>782</v>
      </c>
      <c r="G9" s="593" t="s">
        <v>789</v>
      </c>
      <c r="H9" s="593" t="s">
        <v>790</v>
      </c>
      <c r="I9" s="593" t="s">
        <v>791</v>
      </c>
      <c r="J9" s="21"/>
      <c r="K9" s="595">
        <v>2</v>
      </c>
      <c r="L9" s="596">
        <v>2</v>
      </c>
    </row>
    <row r="10" spans="2:12" ht="196.5" customHeight="1">
      <c r="B10" s="593" t="s">
        <v>792</v>
      </c>
      <c r="C10" s="593" t="s">
        <v>793</v>
      </c>
      <c r="D10" s="594" t="s">
        <v>794</v>
      </c>
      <c r="E10" s="593" t="s">
        <v>795</v>
      </c>
      <c r="F10" s="593" t="s">
        <v>796</v>
      </c>
      <c r="G10" s="593" t="s">
        <v>797</v>
      </c>
      <c r="H10" s="593" t="s">
        <v>798</v>
      </c>
      <c r="I10" s="593" t="s">
        <v>799</v>
      </c>
      <c r="J10" s="21"/>
      <c r="K10" s="595">
        <v>3</v>
      </c>
      <c r="L10" s="596">
        <v>3</v>
      </c>
    </row>
    <row r="11" spans="2:12" ht="72" customHeight="1">
      <c r="B11" s="593" t="s">
        <v>800</v>
      </c>
      <c r="C11" s="593" t="s">
        <v>801</v>
      </c>
      <c r="D11" s="594" t="s">
        <v>802</v>
      </c>
      <c r="E11" s="593" t="s">
        <v>803</v>
      </c>
      <c r="F11" s="593" t="s">
        <v>804</v>
      </c>
      <c r="G11" s="593" t="s">
        <v>805</v>
      </c>
      <c r="H11" s="593" t="s">
        <v>806</v>
      </c>
      <c r="I11" s="593" t="s">
        <v>807</v>
      </c>
      <c r="J11" s="21"/>
      <c r="K11" s="595">
        <v>4</v>
      </c>
      <c r="L11" s="596">
        <v>4</v>
      </c>
    </row>
    <row r="12" spans="2:12" ht="123.75" customHeight="1">
      <c r="B12" s="593" t="s">
        <v>808</v>
      </c>
      <c r="C12" s="593"/>
      <c r="D12" s="594" t="s">
        <v>809</v>
      </c>
      <c r="E12" s="593" t="s">
        <v>810</v>
      </c>
      <c r="F12" s="593" t="s">
        <v>811</v>
      </c>
      <c r="G12" s="594" t="s">
        <v>812</v>
      </c>
      <c r="H12" s="593" t="s">
        <v>813</v>
      </c>
      <c r="I12" s="593" t="s">
        <v>814</v>
      </c>
      <c r="J12" s="597"/>
      <c r="K12" s="595">
        <v>5</v>
      </c>
      <c r="L12" s="596">
        <v>5</v>
      </c>
    </row>
    <row r="13" spans="2:12" ht="163.5" customHeight="1">
      <c r="B13" s="593" t="s">
        <v>815</v>
      </c>
      <c r="C13" s="593" t="s">
        <v>816</v>
      </c>
      <c r="D13" s="594" t="s">
        <v>817</v>
      </c>
      <c r="E13" s="593" t="s">
        <v>818</v>
      </c>
      <c r="F13" s="593" t="s">
        <v>819</v>
      </c>
      <c r="G13" s="593" t="s">
        <v>820</v>
      </c>
      <c r="H13" s="593" t="s">
        <v>821</v>
      </c>
      <c r="I13" s="593" t="s">
        <v>822</v>
      </c>
      <c r="J13" s="598"/>
      <c r="K13" s="599">
        <v>6</v>
      </c>
      <c r="L13" s="600">
        <v>6</v>
      </c>
    </row>
    <row r="14" spans="2:12" ht="39.75" customHeight="1">
      <c r="B14" s="593"/>
      <c r="C14" s="593"/>
      <c r="D14" s="594"/>
      <c r="E14" s="593"/>
      <c r="F14" s="593"/>
      <c r="G14" s="593"/>
      <c r="H14" s="593"/>
      <c r="I14" s="593"/>
      <c r="J14" s="598"/>
      <c r="K14" s="599"/>
      <c r="L14" s="600"/>
    </row>
    <row r="15" spans="2:12" ht="12.75">
      <c r="B15" s="593"/>
      <c r="C15" s="593"/>
      <c r="D15" s="594"/>
      <c r="E15" s="593"/>
      <c r="F15" s="593"/>
      <c r="G15" s="593"/>
      <c r="H15" s="593"/>
      <c r="I15" s="593"/>
      <c r="J15" s="598"/>
      <c r="K15" s="599"/>
      <c r="L15" s="600"/>
    </row>
    <row r="16" spans="2:12" ht="34.5" customHeight="1">
      <c r="B16" s="593"/>
      <c r="C16" s="593"/>
      <c r="D16" s="594"/>
      <c r="E16" s="593"/>
      <c r="F16" s="593"/>
      <c r="G16" s="593"/>
      <c r="H16" s="593"/>
      <c r="I16" s="593"/>
      <c r="J16" s="598"/>
      <c r="K16" s="599"/>
      <c r="L16" s="600"/>
    </row>
    <row r="17" spans="2:12" ht="22.5" customHeight="1">
      <c r="B17" s="593"/>
      <c r="C17" s="593"/>
      <c r="D17" s="594"/>
      <c r="E17" s="593"/>
      <c r="F17" s="593"/>
      <c r="G17" s="593"/>
      <c r="H17" s="593"/>
      <c r="I17" s="593"/>
      <c r="J17" s="598"/>
      <c r="K17" s="599"/>
      <c r="L17" s="600"/>
    </row>
    <row r="18" spans="2:12" ht="72" customHeight="1">
      <c r="B18" s="593"/>
      <c r="C18" s="593"/>
      <c r="D18" s="594"/>
      <c r="E18" s="593"/>
      <c r="F18" s="593"/>
      <c r="G18" s="593"/>
      <c r="H18" s="593"/>
      <c r="I18" s="593"/>
      <c r="J18" s="598"/>
      <c r="K18" s="599"/>
      <c r="L18" s="600"/>
    </row>
    <row r="19" spans="2:12" ht="96" customHeight="1">
      <c r="B19" s="593" t="s">
        <v>823</v>
      </c>
      <c r="C19" s="593" t="s">
        <v>824</v>
      </c>
      <c r="D19" s="594" t="s">
        <v>825</v>
      </c>
      <c r="E19" s="601" t="s">
        <v>826</v>
      </c>
      <c r="F19" s="593"/>
      <c r="G19" s="593" t="s">
        <v>827</v>
      </c>
      <c r="H19" s="593" t="s">
        <v>828</v>
      </c>
      <c r="I19" s="593" t="s">
        <v>829</v>
      </c>
      <c r="J19" s="598"/>
      <c r="K19" s="595">
        <v>8</v>
      </c>
      <c r="L19" s="596">
        <v>7</v>
      </c>
    </row>
    <row r="20" spans="2:12" ht="135" customHeight="1">
      <c r="B20" s="593" t="s">
        <v>830</v>
      </c>
      <c r="C20" s="593" t="s">
        <v>831</v>
      </c>
      <c r="D20" s="594" t="s">
        <v>832</v>
      </c>
      <c r="E20" s="593" t="s">
        <v>833</v>
      </c>
      <c r="F20" s="593"/>
      <c r="G20" s="593" t="s">
        <v>827</v>
      </c>
      <c r="H20" s="593" t="s">
        <v>834</v>
      </c>
      <c r="I20" s="593" t="s">
        <v>835</v>
      </c>
      <c r="J20" s="598"/>
      <c r="K20" s="595">
        <v>9</v>
      </c>
      <c r="L20" s="596">
        <v>8</v>
      </c>
    </row>
    <row r="21" spans="2:12" ht="163.5" customHeight="1">
      <c r="B21" s="593" t="s">
        <v>836</v>
      </c>
      <c r="C21" s="593" t="s">
        <v>837</v>
      </c>
      <c r="D21" s="594" t="s">
        <v>838</v>
      </c>
      <c r="E21" s="593" t="s">
        <v>839</v>
      </c>
      <c r="F21" s="593" t="s">
        <v>840</v>
      </c>
      <c r="G21" s="593" t="s">
        <v>841</v>
      </c>
      <c r="H21" s="593" t="s">
        <v>842</v>
      </c>
      <c r="I21" s="593" t="s">
        <v>843</v>
      </c>
      <c r="J21" s="598"/>
      <c r="K21" s="595">
        <v>10</v>
      </c>
      <c r="L21" s="596">
        <v>9</v>
      </c>
    </row>
    <row r="22" spans="2:12" ht="336.75" customHeight="1">
      <c r="B22" s="593" t="s">
        <v>844</v>
      </c>
      <c r="C22" s="593"/>
      <c r="D22" s="594" t="s">
        <v>845</v>
      </c>
      <c r="E22" s="602" t="s">
        <v>846</v>
      </c>
      <c r="F22" s="601" t="s">
        <v>847</v>
      </c>
      <c r="G22" s="593"/>
      <c r="H22" s="593"/>
      <c r="I22" s="593"/>
      <c r="J22" s="598"/>
      <c r="K22" s="595">
        <v>11</v>
      </c>
      <c r="L22" s="596">
        <v>10</v>
      </c>
    </row>
    <row r="23" spans="2:12" ht="159" customHeight="1">
      <c r="B23" s="593" t="s">
        <v>848</v>
      </c>
      <c r="C23" s="593"/>
      <c r="D23" s="594" t="s">
        <v>849</v>
      </c>
      <c r="E23" s="593" t="s">
        <v>850</v>
      </c>
      <c r="F23" s="593" t="s">
        <v>851</v>
      </c>
      <c r="G23" s="593" t="s">
        <v>852</v>
      </c>
      <c r="H23" s="593" t="s">
        <v>853</v>
      </c>
      <c r="I23" s="593" t="s">
        <v>854</v>
      </c>
      <c r="J23" s="597"/>
      <c r="K23" s="595">
        <v>12</v>
      </c>
      <c r="L23" s="596">
        <v>11</v>
      </c>
    </row>
    <row r="24" spans="2:12" ht="150" customHeight="1">
      <c r="B24" s="593" t="s">
        <v>855</v>
      </c>
      <c r="C24" s="593" t="s">
        <v>856</v>
      </c>
      <c r="D24" s="594" t="s">
        <v>857</v>
      </c>
      <c r="E24" s="593" t="s">
        <v>858</v>
      </c>
      <c r="F24" s="603" t="s">
        <v>840</v>
      </c>
      <c r="G24" s="593" t="s">
        <v>859</v>
      </c>
      <c r="H24" s="593"/>
      <c r="I24" s="593"/>
      <c r="J24" s="597"/>
      <c r="K24" s="595">
        <v>13</v>
      </c>
      <c r="L24" s="596">
        <v>12</v>
      </c>
    </row>
    <row r="25" spans="2:12" ht="129" customHeight="1">
      <c r="B25" s="593" t="s">
        <v>860</v>
      </c>
      <c r="C25" s="593"/>
      <c r="D25" s="594" t="s">
        <v>861</v>
      </c>
      <c r="E25" s="593" t="s">
        <v>862</v>
      </c>
      <c r="F25" s="593" t="s">
        <v>811</v>
      </c>
      <c r="G25" s="593" t="s">
        <v>863</v>
      </c>
      <c r="H25" s="593" t="s">
        <v>864</v>
      </c>
      <c r="I25" s="593" t="s">
        <v>865</v>
      </c>
      <c r="J25" s="597"/>
      <c r="K25" s="595">
        <v>15</v>
      </c>
      <c r="L25" s="596">
        <v>13</v>
      </c>
    </row>
    <row r="26" spans="2:12" ht="105.75" customHeight="1">
      <c r="B26" s="593" t="s">
        <v>866</v>
      </c>
      <c r="C26" s="593"/>
      <c r="D26" s="594" t="s">
        <v>867</v>
      </c>
      <c r="E26" s="593" t="s">
        <v>868</v>
      </c>
      <c r="F26" s="593" t="s">
        <v>840</v>
      </c>
      <c r="G26" s="593" t="s">
        <v>869</v>
      </c>
      <c r="H26" s="593" t="s">
        <v>870</v>
      </c>
      <c r="I26" s="593" t="s">
        <v>871</v>
      </c>
      <c r="J26" s="597"/>
      <c r="K26" s="595">
        <v>16</v>
      </c>
      <c r="L26" s="596">
        <v>14</v>
      </c>
    </row>
    <row r="27" spans="2:12" ht="108" customHeight="1">
      <c r="B27" s="593" t="s">
        <v>872</v>
      </c>
      <c r="C27" s="593" t="s">
        <v>873</v>
      </c>
      <c r="D27" s="593" t="s">
        <v>874</v>
      </c>
      <c r="E27" s="593" t="s">
        <v>875</v>
      </c>
      <c r="F27" s="593" t="s">
        <v>876</v>
      </c>
      <c r="G27" s="593" t="s">
        <v>877</v>
      </c>
      <c r="H27" s="593" t="s">
        <v>878</v>
      </c>
      <c r="I27" s="593" t="s">
        <v>879</v>
      </c>
      <c r="J27" s="597"/>
      <c r="K27" s="595">
        <v>18</v>
      </c>
      <c r="L27" s="596">
        <v>15</v>
      </c>
    </row>
    <row r="28" spans="2:12" ht="69.75" customHeight="1">
      <c r="B28" s="593" t="s">
        <v>880</v>
      </c>
      <c r="C28" s="593"/>
      <c r="D28" s="593" t="s">
        <v>881</v>
      </c>
      <c r="E28" s="593" t="s">
        <v>882</v>
      </c>
      <c r="F28" s="593" t="s">
        <v>840</v>
      </c>
      <c r="G28" s="593" t="s">
        <v>883</v>
      </c>
      <c r="H28" s="593"/>
      <c r="I28" s="593"/>
      <c r="J28" s="597"/>
      <c r="K28" s="595">
        <v>19</v>
      </c>
      <c r="L28" s="596">
        <v>16</v>
      </c>
    </row>
    <row r="29" spans="2:12" ht="108" customHeight="1">
      <c r="B29" s="593" t="s">
        <v>884</v>
      </c>
      <c r="C29" s="593" t="s">
        <v>885</v>
      </c>
      <c r="D29" s="593" t="s">
        <v>886</v>
      </c>
      <c r="E29" s="593" t="s">
        <v>887</v>
      </c>
      <c r="F29" s="593" t="s">
        <v>840</v>
      </c>
      <c r="G29" s="593" t="s">
        <v>888</v>
      </c>
      <c r="H29" s="593" t="s">
        <v>889</v>
      </c>
      <c r="I29" s="593" t="s">
        <v>890</v>
      </c>
      <c r="J29" s="597"/>
      <c r="K29" s="595">
        <v>24</v>
      </c>
      <c r="L29" s="596">
        <v>17</v>
      </c>
    </row>
    <row r="30" spans="2:9" ht="12.75">
      <c r="B30" s="604"/>
      <c r="C30" s="605"/>
      <c r="D30" s="605"/>
      <c r="E30" s="604"/>
      <c r="F30" s="604"/>
      <c r="G30" s="604"/>
      <c r="H30" s="604"/>
      <c r="I30" s="604"/>
    </row>
    <row r="31" spans="2:9" ht="12.75">
      <c r="B31" s="604"/>
      <c r="C31" s="605">
        <v>1</v>
      </c>
      <c r="D31" s="605" t="s">
        <v>778</v>
      </c>
      <c r="F31" s="604"/>
      <c r="G31" s="604"/>
      <c r="H31" s="604"/>
      <c r="I31" s="604"/>
    </row>
    <row r="32" spans="3:4" ht="12.75">
      <c r="C32" s="605"/>
      <c r="D32" s="606" t="s">
        <v>891</v>
      </c>
    </row>
    <row r="33" spans="3:4" ht="12.75">
      <c r="C33" s="605"/>
      <c r="D33" s="606" t="s">
        <v>892</v>
      </c>
    </row>
    <row r="34" spans="3:4" ht="12.75">
      <c r="C34" s="605"/>
      <c r="D34" s="606" t="s">
        <v>893</v>
      </c>
    </row>
    <row r="35" spans="3:4" ht="12.75">
      <c r="C35" s="605"/>
      <c r="D35" s="606" t="s">
        <v>894</v>
      </c>
    </row>
    <row r="36" spans="3:4" ht="12.75">
      <c r="C36" s="605"/>
      <c r="D36" s="600">
        <v>3</v>
      </c>
    </row>
    <row r="37" spans="3:4" ht="12.75">
      <c r="C37" s="605">
        <v>2</v>
      </c>
      <c r="D37" s="605" t="s">
        <v>786</v>
      </c>
    </row>
    <row r="38" spans="3:4" ht="12.75">
      <c r="C38" s="605"/>
      <c r="D38" s="606" t="s">
        <v>891</v>
      </c>
    </row>
    <row r="39" spans="3:4" ht="12.75">
      <c r="C39" s="605"/>
      <c r="D39" s="606" t="s">
        <v>892</v>
      </c>
    </row>
    <row r="40" spans="3:4" ht="12.75">
      <c r="C40" s="605"/>
      <c r="D40" s="606" t="s">
        <v>893</v>
      </c>
    </row>
    <row r="41" spans="3:4" ht="12.75">
      <c r="C41" s="605"/>
      <c r="D41" s="606" t="s">
        <v>894</v>
      </c>
    </row>
    <row r="42" spans="3:4" ht="12.75">
      <c r="C42" s="605"/>
      <c r="D42" s="600">
        <v>3</v>
      </c>
    </row>
    <row r="43" spans="3:4" ht="24">
      <c r="C43" s="605">
        <v>3</v>
      </c>
      <c r="D43" s="605" t="s">
        <v>792</v>
      </c>
    </row>
    <row r="44" spans="3:4" ht="12.75">
      <c r="C44" s="605"/>
      <c r="D44" s="606" t="s">
        <v>891</v>
      </c>
    </row>
    <row r="45" spans="3:4" ht="12.75">
      <c r="C45" s="605"/>
      <c r="D45" s="606" t="s">
        <v>892</v>
      </c>
    </row>
    <row r="46" spans="3:4" ht="12.75">
      <c r="C46" s="605"/>
      <c r="D46" s="606" t="s">
        <v>893</v>
      </c>
    </row>
    <row r="47" spans="3:4" ht="12.75">
      <c r="C47" s="605"/>
      <c r="D47" s="606" t="s">
        <v>894</v>
      </c>
    </row>
    <row r="48" spans="3:4" ht="12.75">
      <c r="C48" s="605"/>
      <c r="D48" s="600">
        <v>3</v>
      </c>
    </row>
    <row r="49" spans="3:4" ht="12.75">
      <c r="C49" s="605">
        <v>4</v>
      </c>
      <c r="D49" s="605" t="s">
        <v>800</v>
      </c>
    </row>
    <row r="50" spans="3:4" ht="12.75">
      <c r="C50" s="605"/>
      <c r="D50" s="606" t="s">
        <v>891</v>
      </c>
    </row>
    <row r="51" spans="3:4" ht="12.75">
      <c r="C51" s="605"/>
      <c r="D51" s="606" t="s">
        <v>892</v>
      </c>
    </row>
    <row r="52" spans="3:4" ht="12.75">
      <c r="C52" s="605"/>
      <c r="D52" s="606" t="s">
        <v>893</v>
      </c>
    </row>
    <row r="53" spans="3:4" ht="12.75">
      <c r="C53" s="605"/>
      <c r="D53" s="606" t="s">
        <v>894</v>
      </c>
    </row>
    <row r="54" spans="3:4" ht="12.75">
      <c r="C54" s="605"/>
      <c r="D54" s="600">
        <v>3</v>
      </c>
    </row>
    <row r="55" spans="3:4" ht="24">
      <c r="C55" s="605">
        <v>5</v>
      </c>
      <c r="D55" s="605" t="s">
        <v>808</v>
      </c>
    </row>
    <row r="56" spans="3:4" ht="12.75">
      <c r="C56" s="605"/>
      <c r="D56" s="606" t="s">
        <v>891</v>
      </c>
    </row>
    <row r="57" spans="3:4" ht="12.75">
      <c r="C57" s="605"/>
      <c r="D57" s="606" t="s">
        <v>892</v>
      </c>
    </row>
    <row r="58" spans="3:4" ht="12.75">
      <c r="C58" s="605"/>
      <c r="D58" s="606" t="s">
        <v>893</v>
      </c>
    </row>
    <row r="59" spans="3:4" ht="12.75">
      <c r="C59" s="605"/>
      <c r="D59" s="606" t="s">
        <v>894</v>
      </c>
    </row>
    <row r="60" spans="3:4" ht="12.75">
      <c r="C60" s="605"/>
      <c r="D60" s="600">
        <v>3</v>
      </c>
    </row>
    <row r="61" spans="3:4" ht="12.75">
      <c r="C61" s="605">
        <v>6</v>
      </c>
      <c r="D61" s="607" t="s">
        <v>815</v>
      </c>
    </row>
    <row r="62" spans="3:4" ht="12.75">
      <c r="C62" s="605"/>
      <c r="D62" s="606" t="s">
        <v>891</v>
      </c>
    </row>
    <row r="63" spans="3:4" ht="12.75">
      <c r="C63" s="605"/>
      <c r="D63" s="606" t="s">
        <v>892</v>
      </c>
    </row>
    <row r="64" spans="3:4" ht="12.75">
      <c r="C64" s="605"/>
      <c r="D64" s="606" t="s">
        <v>893</v>
      </c>
    </row>
    <row r="65" spans="3:4" ht="12.75">
      <c r="C65" s="605"/>
      <c r="D65" s="606" t="s">
        <v>894</v>
      </c>
    </row>
    <row r="66" spans="3:4" ht="12.75">
      <c r="C66" s="605"/>
      <c r="D66" s="600">
        <v>3</v>
      </c>
    </row>
    <row r="67" spans="3:4" ht="12.75">
      <c r="C67" s="605">
        <v>7</v>
      </c>
      <c r="D67" s="605" t="s">
        <v>823</v>
      </c>
    </row>
    <row r="68" spans="3:4" ht="12.75">
      <c r="C68" s="605"/>
      <c r="D68" s="606" t="s">
        <v>891</v>
      </c>
    </row>
    <row r="69" spans="3:4" ht="12.75">
      <c r="C69" s="605"/>
      <c r="D69" s="606" t="s">
        <v>892</v>
      </c>
    </row>
    <row r="70" spans="3:4" ht="12.75">
      <c r="C70" s="605"/>
      <c r="D70" s="606" t="s">
        <v>893</v>
      </c>
    </row>
    <row r="71" spans="3:4" ht="12.75">
      <c r="C71" s="605"/>
      <c r="D71" s="606" t="s">
        <v>894</v>
      </c>
    </row>
    <row r="72" spans="3:4" ht="12.75">
      <c r="C72" s="605"/>
      <c r="D72" s="600">
        <v>3</v>
      </c>
    </row>
    <row r="73" spans="3:4" ht="12.75">
      <c r="C73" s="605">
        <v>8</v>
      </c>
      <c r="D73" s="605" t="s">
        <v>830</v>
      </c>
    </row>
    <row r="74" spans="3:4" ht="12.75">
      <c r="C74" s="605"/>
      <c r="D74" s="606" t="s">
        <v>891</v>
      </c>
    </row>
    <row r="75" spans="3:4" ht="12.75">
      <c r="C75" s="605"/>
      <c r="D75" s="606" t="s">
        <v>892</v>
      </c>
    </row>
    <row r="76" spans="3:4" ht="12.75">
      <c r="C76" s="605"/>
      <c r="D76" s="606" t="s">
        <v>893</v>
      </c>
    </row>
    <row r="77" spans="3:4" ht="12.75">
      <c r="C77" s="605"/>
      <c r="D77" s="606" t="s">
        <v>894</v>
      </c>
    </row>
    <row r="78" spans="3:4" ht="12.75">
      <c r="C78" s="605"/>
      <c r="D78" s="600">
        <v>3</v>
      </c>
    </row>
    <row r="79" spans="3:4" ht="12.75">
      <c r="C79" s="605">
        <v>9</v>
      </c>
      <c r="D79" s="605" t="s">
        <v>836</v>
      </c>
    </row>
    <row r="80" spans="3:4" ht="12.75">
      <c r="C80" s="605"/>
      <c r="D80" s="606" t="s">
        <v>891</v>
      </c>
    </row>
    <row r="81" spans="3:4" ht="12.75">
      <c r="C81" s="605"/>
      <c r="D81" s="606" t="s">
        <v>892</v>
      </c>
    </row>
    <row r="82" spans="3:4" ht="12.75">
      <c r="C82" s="605"/>
      <c r="D82" s="606" t="s">
        <v>893</v>
      </c>
    </row>
    <row r="83" spans="3:4" ht="12.75">
      <c r="C83" s="605"/>
      <c r="D83" s="606" t="s">
        <v>894</v>
      </c>
    </row>
    <row r="84" spans="3:4" ht="12.75">
      <c r="C84" s="605"/>
      <c r="D84" s="600">
        <v>3</v>
      </c>
    </row>
    <row r="85" spans="3:4" ht="12.75">
      <c r="C85" s="605">
        <v>10</v>
      </c>
      <c r="D85" s="605" t="s">
        <v>844</v>
      </c>
    </row>
    <row r="86" spans="3:4" ht="12.75">
      <c r="C86" s="605"/>
      <c r="D86" s="606" t="s">
        <v>891</v>
      </c>
    </row>
    <row r="87" spans="3:4" ht="12.75">
      <c r="C87" s="605"/>
      <c r="D87" s="606" t="s">
        <v>892</v>
      </c>
    </row>
    <row r="88" spans="3:4" ht="12.75">
      <c r="C88" s="605"/>
      <c r="D88" s="606" t="s">
        <v>893</v>
      </c>
    </row>
    <row r="89" spans="3:4" ht="12.75">
      <c r="C89" s="605"/>
      <c r="D89" s="606" t="s">
        <v>894</v>
      </c>
    </row>
    <row r="90" spans="3:4" ht="12.75">
      <c r="C90" s="605"/>
      <c r="D90" s="600">
        <v>3</v>
      </c>
    </row>
    <row r="91" spans="3:4" ht="22.5" customHeight="1">
      <c r="C91" s="605">
        <v>11</v>
      </c>
      <c r="D91" s="605" t="s">
        <v>848</v>
      </c>
    </row>
    <row r="92" spans="3:4" ht="12.75">
      <c r="C92" s="605"/>
      <c r="D92" s="606" t="s">
        <v>891</v>
      </c>
    </row>
    <row r="93" spans="3:4" ht="12.75">
      <c r="C93" s="605"/>
      <c r="D93" s="606" t="s">
        <v>892</v>
      </c>
    </row>
    <row r="94" spans="3:4" ht="12.75">
      <c r="C94" s="605"/>
      <c r="D94" s="606" t="s">
        <v>893</v>
      </c>
    </row>
    <row r="95" spans="3:4" ht="12.75">
      <c r="C95" s="605"/>
      <c r="D95" s="606" t="s">
        <v>894</v>
      </c>
    </row>
    <row r="96" spans="3:4" ht="12.75">
      <c r="C96" s="605"/>
      <c r="D96" s="600">
        <v>3</v>
      </c>
    </row>
    <row r="97" spans="3:4" ht="12.75">
      <c r="C97" s="605">
        <v>12</v>
      </c>
      <c r="D97" s="605" t="s">
        <v>855</v>
      </c>
    </row>
    <row r="98" spans="3:4" ht="12.75">
      <c r="C98" s="605"/>
      <c r="D98" s="606" t="s">
        <v>891</v>
      </c>
    </row>
    <row r="99" spans="3:4" ht="12.75">
      <c r="C99" s="605"/>
      <c r="D99" s="606" t="s">
        <v>892</v>
      </c>
    </row>
    <row r="100" spans="3:4" ht="12.75">
      <c r="C100" s="605"/>
      <c r="D100" s="606" t="s">
        <v>893</v>
      </c>
    </row>
    <row r="101" spans="3:4" ht="12.75">
      <c r="C101" s="605"/>
      <c r="D101" s="606" t="s">
        <v>894</v>
      </c>
    </row>
    <row r="102" spans="3:4" ht="12.75">
      <c r="C102" s="605"/>
      <c r="D102" s="600">
        <v>3</v>
      </c>
    </row>
    <row r="103" spans="3:4" ht="24">
      <c r="C103" s="605">
        <v>13</v>
      </c>
      <c r="D103" s="605" t="s">
        <v>860</v>
      </c>
    </row>
    <row r="104" spans="3:4" ht="12.75">
      <c r="C104" s="605"/>
      <c r="D104" s="606" t="s">
        <v>891</v>
      </c>
    </row>
    <row r="105" spans="3:4" ht="12.75">
      <c r="C105" s="605"/>
      <c r="D105" s="606" t="s">
        <v>892</v>
      </c>
    </row>
    <row r="106" spans="3:4" ht="12.75">
      <c r="C106" s="605"/>
      <c r="D106" s="606" t="s">
        <v>893</v>
      </c>
    </row>
    <row r="107" spans="3:4" ht="12.75">
      <c r="C107" s="605"/>
      <c r="D107" s="606" t="s">
        <v>894</v>
      </c>
    </row>
    <row r="108" spans="3:4" ht="12.75">
      <c r="C108" s="605"/>
      <c r="D108" s="600">
        <v>3</v>
      </c>
    </row>
    <row r="109" spans="3:4" ht="12.75">
      <c r="C109" s="605">
        <v>14</v>
      </c>
      <c r="D109" s="605" t="s">
        <v>866</v>
      </c>
    </row>
    <row r="110" spans="3:4" ht="12.75">
      <c r="C110" s="605"/>
      <c r="D110" s="606" t="s">
        <v>891</v>
      </c>
    </row>
    <row r="111" spans="3:4" ht="12.75">
      <c r="C111" s="605"/>
      <c r="D111" s="606" t="s">
        <v>892</v>
      </c>
    </row>
    <row r="112" spans="3:4" ht="12.75">
      <c r="C112" s="605"/>
      <c r="D112" s="606" t="s">
        <v>893</v>
      </c>
    </row>
    <row r="113" spans="3:4" ht="12.75">
      <c r="C113" s="605"/>
      <c r="D113" s="606" t="s">
        <v>894</v>
      </c>
    </row>
    <row r="114" spans="3:4" ht="12.75">
      <c r="C114" s="605"/>
      <c r="D114" s="600">
        <v>3</v>
      </c>
    </row>
    <row r="115" spans="3:4" ht="12.75">
      <c r="C115" s="605">
        <v>15</v>
      </c>
      <c r="D115" s="605" t="s">
        <v>872</v>
      </c>
    </row>
    <row r="116" spans="3:4" ht="12.75">
      <c r="C116" s="605"/>
      <c r="D116" s="606" t="s">
        <v>891</v>
      </c>
    </row>
    <row r="117" spans="3:4" ht="12.75">
      <c r="C117" s="605"/>
      <c r="D117" s="606" t="s">
        <v>892</v>
      </c>
    </row>
    <row r="118" spans="3:4" ht="12.75">
      <c r="C118" s="605"/>
      <c r="D118" s="606" t="s">
        <v>893</v>
      </c>
    </row>
    <row r="119" spans="3:4" ht="12.75">
      <c r="C119" s="605"/>
      <c r="D119" s="606" t="s">
        <v>894</v>
      </c>
    </row>
    <row r="120" spans="3:4" ht="12.75">
      <c r="C120" s="605"/>
      <c r="D120" s="600">
        <v>3</v>
      </c>
    </row>
    <row r="121" spans="3:4" ht="12.75">
      <c r="C121" s="605">
        <v>16</v>
      </c>
      <c r="D121" s="605" t="s">
        <v>880</v>
      </c>
    </row>
    <row r="122" spans="3:4" ht="12.75">
      <c r="C122" s="605"/>
      <c r="D122" s="606" t="s">
        <v>891</v>
      </c>
    </row>
    <row r="123" spans="3:4" ht="12.75">
      <c r="C123" s="605"/>
      <c r="D123" s="606" t="s">
        <v>892</v>
      </c>
    </row>
    <row r="124" spans="3:4" ht="12.75">
      <c r="C124" s="605"/>
      <c r="D124" s="606" t="s">
        <v>893</v>
      </c>
    </row>
    <row r="125" spans="3:4" ht="12.75">
      <c r="C125" s="605"/>
      <c r="D125" s="606" t="s">
        <v>894</v>
      </c>
    </row>
    <row r="126" spans="3:4" ht="12.75">
      <c r="C126" s="605"/>
      <c r="D126" s="600">
        <v>3</v>
      </c>
    </row>
    <row r="127" spans="3:4" ht="24">
      <c r="C127" s="605">
        <v>17</v>
      </c>
      <c r="D127" s="605" t="s">
        <v>884</v>
      </c>
    </row>
    <row r="128" spans="3:4" ht="12.75">
      <c r="C128" s="605"/>
      <c r="D128" s="606" t="s">
        <v>891</v>
      </c>
    </row>
    <row r="129" spans="3:4" ht="12.75">
      <c r="C129" s="605"/>
      <c r="D129" s="606" t="s">
        <v>892</v>
      </c>
    </row>
    <row r="130" spans="3:4" ht="12.75">
      <c r="C130" s="605"/>
      <c r="D130" s="606" t="s">
        <v>893</v>
      </c>
    </row>
    <row r="131" spans="3:4" ht="12.75">
      <c r="C131" s="605"/>
      <c r="D131" s="606" t="s">
        <v>894</v>
      </c>
    </row>
    <row r="132" spans="3:4" ht="12.75">
      <c r="C132" s="605"/>
      <c r="D132" s="600">
        <v>3</v>
      </c>
    </row>
  </sheetData>
  <sheetProtection selectLockedCells="1" selectUnlockedCells="1"/>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pageMargins left="0.5118055555555556" right="0.5118055555555556" top="0.7875" bottom="0.7875" header="0.5118110236220472" footer="0.5118110236220472"/>
  <pageSetup horizontalDpi="300" verticalDpi="300" orientation="portrait" paperSize="9"/>
  <legacyDrawing r:id="rId1"/>
</worksheet>
</file>

<file path=xl/worksheets/sheet44.xml><?xml version="1.0" encoding="utf-8"?>
<worksheet xmlns="http://schemas.openxmlformats.org/spreadsheetml/2006/main" xmlns:r="http://schemas.openxmlformats.org/officeDocument/2006/relationships">
  <sheetPr>
    <tabColor indexed="44"/>
  </sheetPr>
  <dimension ref="A1:AA34"/>
  <sheetViews>
    <sheetView workbookViewId="0" topLeftCell="A7">
      <selection activeCell="I25" sqref="I25"/>
    </sheetView>
  </sheetViews>
  <sheetFormatPr defaultColWidth="9.140625" defaultRowHeight="12.75"/>
  <cols>
    <col min="1" max="1" width="9.28125" style="516" customWidth="1"/>
    <col min="2" max="2" width="38.421875" style="516" customWidth="1"/>
    <col min="3" max="3" width="13.00390625" style="516" customWidth="1"/>
    <col min="4" max="4" width="22.421875" style="516" customWidth="1"/>
    <col min="5" max="5" width="14.28125" style="516" customWidth="1"/>
    <col min="6" max="6" width="9.7109375" style="516" customWidth="1"/>
    <col min="7" max="7" width="11.421875" style="516" customWidth="1"/>
    <col min="8" max="8" width="17.00390625" style="516" customWidth="1"/>
    <col min="9" max="9" width="16.421875" style="516" customWidth="1"/>
    <col min="10" max="10" width="25.421875" style="516" customWidth="1"/>
    <col min="11" max="11" width="14.421875" style="516" customWidth="1"/>
    <col min="12" max="12" width="12.00390625" style="516" customWidth="1"/>
    <col min="13" max="13" width="25.421875" style="516" customWidth="1"/>
    <col min="14" max="16384" width="11.421875" style="516" customWidth="1"/>
  </cols>
  <sheetData>
    <row r="1" ht="12.75">
      <c r="A1" s="581" t="s">
        <v>741</v>
      </c>
    </row>
    <row r="2" spans="1:2" ht="15">
      <c r="A2" s="582" t="s">
        <v>895</v>
      </c>
      <c r="B2" s="583" t="s">
        <v>896</v>
      </c>
    </row>
    <row r="3" ht="13.5"/>
    <row r="4" spans="1:11" ht="15.75">
      <c r="A4" s="608"/>
      <c r="B4" s="609" t="s">
        <v>749</v>
      </c>
      <c r="C4" s="610" t="s">
        <v>897</v>
      </c>
      <c r="D4" s="610" t="s">
        <v>898</v>
      </c>
      <c r="E4" s="610" t="s">
        <v>899</v>
      </c>
      <c r="F4" s="610" t="s">
        <v>900</v>
      </c>
      <c r="H4" s="534" t="s">
        <v>16</v>
      </c>
      <c r="I4" s="534"/>
      <c r="J4" s="534"/>
      <c r="K4" s="534"/>
    </row>
    <row r="5" spans="1:11" ht="15">
      <c r="A5" s="608"/>
      <c r="B5" s="611" t="s">
        <v>778</v>
      </c>
      <c r="C5" s="612">
        <f>IF('A.XV. RPS (DetalhadoI)'!D36=1,'A.XV. RPS (Base Num)'!B3,IF('A.XV. RPS (DetalhadoI)'!D36=2,'A.XV. RPS (Base Num)'!D3,IF('A.XV. RPS (DetalhadoI)'!D36=3,'A.XV. RPS (Base Num)'!F3,'A.XV. RPS (Base Num)'!H3)))</f>
        <v>0.7803895295176189</v>
      </c>
      <c r="D5" s="613">
        <f>IF('A.XV. RPS (DetalhadoI)'!D36=1,0,IF('A.XV. RPS (DetalhadoI)'!D36=2,'A.XV. RPS (Base Num)'!E3,IF('A.XV. RPS (DetalhadoI)'!D36=3,'A.XV. RPS (Base Num)'!G3,'A.XV. RPS (Base Num)'!I3)))</f>
        <v>0.22</v>
      </c>
      <c r="E5" s="614">
        <f aca="true" t="shared" si="0" ref="E5:E21">D5*C5/1.64</f>
        <v>0.10468640030114401</v>
      </c>
      <c r="F5" s="614">
        <f aca="true" t="shared" si="1" ref="F5:F21">E5^2</f>
        <v>0.010959242408011365</v>
      </c>
      <c r="H5" s="538"/>
      <c r="I5" s="539"/>
      <c r="J5" s="539"/>
      <c r="K5" s="585"/>
    </row>
    <row r="6" spans="1:11" ht="15">
      <c r="A6" s="608"/>
      <c r="B6" s="611" t="s">
        <v>786</v>
      </c>
      <c r="C6" s="612">
        <f>IF('A.XV. RPS (DetalhadoI)'!D42=1,'A.XV. RPS (Base Num)'!B4,IF('A.XV. RPS (DetalhadoI)'!D42=2,'A.XV. RPS (Base Num)'!D4,IF('A.XV. RPS (DetalhadoI)'!D42=3,'A.XV. RPS (Base Num)'!F4,'A.XV. RPS (Base Num)'!H4)))</f>
        <v>1.4452700700590102</v>
      </c>
      <c r="D6" s="613">
        <f>IF('A.XV. RPS (DetalhadoI)'!D42=1,0,IF('A.XV. RPS (DetalhadoI)'!D42=2,'A.XV. RPS (Base Num)'!E4,IF('A.XV. RPS (DetalhadoI)'!D42=3,'A.XV. RPS (Base Num)'!G4,'A.XV. RPS (Base Num)'!I4)))</f>
        <v>0.15</v>
      </c>
      <c r="E6" s="614">
        <f t="shared" si="0"/>
        <v>0.132189335676129</v>
      </c>
      <c r="F6" s="614">
        <f t="shared" si="1"/>
        <v>0.017474020466496314</v>
      </c>
      <c r="H6" s="543"/>
      <c r="I6" s="21"/>
      <c r="J6" s="587" t="s">
        <v>18</v>
      </c>
      <c r="K6" s="588"/>
    </row>
    <row r="7" spans="1:11" ht="24">
      <c r="A7" s="608"/>
      <c r="B7" s="615" t="s">
        <v>792</v>
      </c>
      <c r="C7" s="612">
        <f>IF('A.XV. RPS (DetalhadoI)'!D48=1,'A.XV. RPS (Base Num)'!B5,IF('A.XV. RPS (DetalhadoI)'!D48=2,'A.XV. RPS (Base Num)'!D5,IF('A.XV. RPS (DetalhadoI)'!D48=3,'A.XV. RPS (Base Num)'!F5,'A.XV. RPS (Base Num)'!H5)))</f>
        <v>52.66429527799623</v>
      </c>
      <c r="D7" s="613">
        <f>IF('A.XV. RPS (DetalhadoI)'!D48=1,0,IF('A.XV. RPS (DetalhadoI)'!D48=2,'A.XV. RPS (Base Num)'!E5,IF('A.XV. RPS (DetalhadoI)'!D48=3,'A.XV. RPS (Base Num)'!G5,'A.XV. RPS (Base Num)'!I5)))</f>
        <v>0.06</v>
      </c>
      <c r="E7" s="614">
        <f t="shared" si="0"/>
        <v>1.926742510170594</v>
      </c>
      <c r="F7" s="614">
        <f t="shared" si="1"/>
        <v>3.7123367004984815</v>
      </c>
      <c r="H7" s="543"/>
      <c r="I7" s="27"/>
      <c r="J7" s="587" t="s">
        <v>20</v>
      </c>
      <c r="K7" s="588"/>
    </row>
    <row r="8" spans="1:11" ht="15">
      <c r="A8" s="608"/>
      <c r="B8" s="616" t="s">
        <v>800</v>
      </c>
      <c r="C8" s="612">
        <f>IF('A.XV. RPS (DetalhadoI)'!D54=1,'A.XV. RPS (Base Num)'!B6,IF('A.XV. RPS (DetalhadoI)'!D54=2,'A.XV. RPS (Base Num)'!F6,IF('A.XV. RPS (DetalhadoI)'!D54=3,'A.XV. RPS (Base Num)'!F6,'A.XV. RPS (Base Num)'!H6)))</f>
        <v>0.7803895295176189</v>
      </c>
      <c r="D8" s="613">
        <f>IF('A.XV. RPS (DetalhadoI)'!D54=1,0,IF('A.XV. RPS (DetalhadoI)'!D54=2,'A.XV. RPS (Base Num)'!E6,IF('A.XV. RPS (DetalhadoI)'!D54=3,'A.XV. RPS (Base Num)'!G6,'A.XV. RPS (Base Num)'!I6)))</f>
        <v>0.07</v>
      </c>
      <c r="E8" s="614">
        <f t="shared" si="0"/>
        <v>0.033309309186727636</v>
      </c>
      <c r="F8" s="614">
        <f t="shared" si="1"/>
        <v>0.001109510078497018</v>
      </c>
      <c r="H8" s="543"/>
      <c r="I8" s="28"/>
      <c r="J8" s="587" t="s">
        <v>22</v>
      </c>
      <c r="K8" s="588"/>
    </row>
    <row r="9" spans="1:11" ht="15.75">
      <c r="A9" s="608"/>
      <c r="B9" s="616" t="s">
        <v>808</v>
      </c>
      <c r="C9" s="612">
        <f>IF('A.XV. RPS (DetalhadoI)'!D60=1,'A.XV. RPS (Base Num)'!B7,IF('A.XV. RPS (DetalhadoI)'!D60=2,'A.XV. RPS (Base Num)'!D7,IF('A.XV. RPS (DetalhadoI)'!D60=3,'A.XV. RPS (Base Num)'!F7,'A.XV. RPS (Base Num)'!H7)))</f>
        <v>22.615794053539766</v>
      </c>
      <c r="D9" s="613">
        <f>IF('A.XV. RPS (DetalhadoI)'!D60=1,0,IF('A.XV. RPS (DetalhadoI)'!D60=2,'A.XV. RPS (Base Num)'!E7,IF('A.XV. RPS (DetalhadoI)'!D60=3,'A.XV. RPS (Base Num)'!G7,'A.XV. RPS (Base Num)'!I7)))</f>
        <v>0.0069406093680000076</v>
      </c>
      <c r="E9" s="614">
        <f t="shared" si="0"/>
        <v>0.0957118244346079</v>
      </c>
      <c r="F9" s="614">
        <f t="shared" si="1"/>
        <v>0.009160753336601208</v>
      </c>
      <c r="H9" s="550"/>
      <c r="I9" s="551"/>
      <c r="J9" s="551"/>
      <c r="K9" s="592"/>
    </row>
    <row r="10" spans="1:6" ht="12.75">
      <c r="A10" s="608"/>
      <c r="B10" s="616" t="s">
        <v>815</v>
      </c>
      <c r="C10" s="612">
        <f>IF('A.XV. RPS (DetalhadoI)'!D66=1,'A.XV. RPS (Base Num)'!B8,IF('A.XV. RPS (DetalhadoI)'!D66=2,'A.XV. RPS (Base Num)'!D8,IF('A.XV. RPS (DetalhadoI)'!D66=3,'A.XV. RPS (Base Num)'!F8,'A.XV. RPS (Base Num)'!H8)))</f>
        <v>100</v>
      </c>
      <c r="D10" s="613">
        <f>IF('A.XV. RPS (DetalhadoI)'!D66=1,0,IF('A.XV. RPS (DetalhadoI)'!D66=2,'A.XV. RPS (Base Num)'!E8,IF('A.XV. RPS (DetalhadoI)'!D66=3,'A.XV. RPS (Base Num)'!G8,'A.XV. RPS (Base Num)'!I8)))</f>
        <v>0.055714285714285716</v>
      </c>
      <c r="E10" s="614">
        <f t="shared" si="0"/>
        <v>3.397212543554007</v>
      </c>
      <c r="F10" s="614">
        <f t="shared" si="1"/>
        <v>11.541053066080684</v>
      </c>
    </row>
    <row r="11" spans="1:27" ht="12.75">
      <c r="A11" s="608"/>
      <c r="B11" s="616" t="s">
        <v>823</v>
      </c>
      <c r="C11" s="612" t="e">
        <f>IF('A.XV. RPS (DetalhadoI)'!D72=1,'A.XV. RPS (Base Num)'!B9,IF('A.XV. RPS (DetalhadoI)'!D72=2,'A.XV. RPS (Base Num)'!D9,IF('A.XV. RPS (DetalhadoI)'!D72=3,'A.XV. RPS (Base Num)'!F9,'A.XV. RPS (Base Num)'!H9)))</f>
        <v>#DIV/0!</v>
      </c>
      <c r="D11" s="613">
        <f>IF('A.XV. RPS (DetalhadoI)'!D72=1,0,IF('A.XV. RPS (DetalhadoI)'!D72=2,'A.XV. RPS (Base Num)'!E9,IF('A.XV. RPS (DetalhadoI)'!D72=3,'A.XV. RPS (Base Num)'!G9,'A.XV. RPS (Base Num)'!I9)))</f>
        <v>0.02240000000000002</v>
      </c>
      <c r="E11" s="614" t="e">
        <f t="shared" si="0"/>
        <v>#DIV/0!</v>
      </c>
      <c r="F11" s="614" t="e">
        <f t="shared" si="1"/>
        <v>#DIV/0!</v>
      </c>
      <c r="J11" s="535"/>
      <c r="K11" s="535"/>
      <c r="L11" s="535"/>
      <c r="M11" s="535"/>
      <c r="N11" s="535"/>
      <c r="O11" s="535"/>
      <c r="P11" s="535"/>
      <c r="Q11" s="535"/>
      <c r="R11" s="535"/>
      <c r="S11" s="535"/>
      <c r="T11" s="535"/>
      <c r="U11" s="535"/>
      <c r="V11" s="535"/>
      <c r="W11" s="535"/>
      <c r="X11" s="535"/>
      <c r="Y11" s="535"/>
      <c r="Z11" s="535"/>
      <c r="AA11" s="535"/>
    </row>
    <row r="12" spans="1:27" ht="12.75">
      <c r="A12" s="608"/>
      <c r="B12" s="616" t="s">
        <v>830</v>
      </c>
      <c r="C12" s="617" t="e">
        <f>IF('A.XV. RPS (DetalhadoI)'!D78=1,'A.XV. RPS (Base Num)'!B10,IF('A.XV. RPS (DetalhadoI)'!D78=2,'A.XV. RPS (Base Num)'!D10,IF('A.XV. RPS (DetalhadoI)'!D78=3,'A.XV. RPS (Base Num)'!F10,'A.XV. RPS (Base Num)'!H10)))</f>
        <v>#VALUE!</v>
      </c>
      <c r="D12" s="613">
        <f>IF('A.XV. RPS (DetalhadoI)'!D78=1,0,IF('A.XV. RPS (DetalhadoI)'!D78=2,'A.XV. RPS (Base Num)'!E10,IF('A.XV. RPS (DetalhadoI)'!D78=3,'A.XV. RPS (Base Num)'!G10,'A.XV. RPS (Base Num)'!I10)))</f>
        <v>0.04815440000000004</v>
      </c>
      <c r="E12" s="614" t="e">
        <f t="shared" si="0"/>
        <v>#VALUE!</v>
      </c>
      <c r="F12" s="614" t="e">
        <f t="shared" si="1"/>
        <v>#VALUE!</v>
      </c>
      <c r="J12" s="535"/>
      <c r="K12" s="535"/>
      <c r="L12" s="535"/>
      <c r="M12" s="535"/>
      <c r="N12" s="535"/>
      <c r="O12" s="535"/>
      <c r="P12" s="535"/>
      <c r="Q12" s="535"/>
      <c r="R12" s="535"/>
      <c r="S12" s="535"/>
      <c r="T12" s="535"/>
      <c r="U12" s="535"/>
      <c r="V12" s="535"/>
      <c r="W12" s="535"/>
      <c r="X12" s="535"/>
      <c r="Y12" s="535"/>
      <c r="Z12" s="535"/>
      <c r="AA12" s="535"/>
    </row>
    <row r="13" spans="1:27" ht="12.75">
      <c r="A13" s="608"/>
      <c r="B13" s="616" t="s">
        <v>836</v>
      </c>
      <c r="C13" s="612">
        <f>IF('A.XV. RPS (DetalhadoI)'!D84=1,'A.XV. RPS (Base Num)'!B11,IF('A.XV. RPS (DetalhadoI)'!D84=2,'A.XV. RPS (Base Num)'!D11,IF('A.XV. RPS (DetalhadoI)'!D84=3,'A.XV. RPS (Base Num)'!F11,'A.XV. RPS (Base Num)'!H11)))</f>
        <v>100</v>
      </c>
      <c r="D13" s="613">
        <f>IF('A.XV. RPS (DetalhadoI)'!D84=1,0,IF('A.XV. RPS (DetalhadoI)'!D84=2,'A.XV. RPS (Base Num)'!E11,IF('A.XV. RPS (DetalhadoI)'!D84=3,'A.XV. RPS (Base Num)'!G11,'A.XV. RPS (Base Num)'!I11)))</f>
        <v>0.012</v>
      </c>
      <c r="E13" s="614">
        <f t="shared" si="0"/>
        <v>0.7317073170731707</v>
      </c>
      <c r="F13" s="614">
        <f t="shared" si="1"/>
        <v>0.5353955978584176</v>
      </c>
      <c r="J13" s="535"/>
      <c r="K13" s="535"/>
      <c r="L13" s="535"/>
      <c r="M13" s="535"/>
      <c r="N13" s="535"/>
      <c r="O13" s="535"/>
      <c r="P13" s="535"/>
      <c r="Q13" s="535"/>
      <c r="R13" s="535"/>
      <c r="S13" s="535"/>
      <c r="T13" s="535"/>
      <c r="U13" s="535"/>
      <c r="V13" s="535"/>
      <c r="W13" s="535"/>
      <c r="X13" s="535"/>
      <c r="Y13" s="535"/>
      <c r="Z13" s="535"/>
      <c r="AA13" s="535"/>
    </row>
    <row r="14" spans="1:27" ht="12.75">
      <c r="A14" s="608"/>
      <c r="B14" s="611" t="s">
        <v>844</v>
      </c>
      <c r="C14" s="612">
        <f>IF('A.XV. RPS (DetalhadoI)'!D90=1,'A.XV. RPS (Base Num)'!B12,IF('A.XV. RPS (DetalhadoI)'!D90=2,'A.XV. RPS (Base Num)'!D12,IF('A.XV. RPS (DetalhadoI)'!D90=3,'A.XV. RPS (Base Num)'!F12,'A.XV. RPS (Base Num)'!H12)))</f>
        <v>0</v>
      </c>
      <c r="D14" s="613">
        <f>IF('A.XV. RPS (DetalhadoI)'!D90=1,0,IF('A.XV. RPS (DetalhadoI)'!D90=2,'A.XV. RPS (Base Num)'!E12,IF('A.XV. RPS (DetalhadoI)'!D90=3,'A.XV. RPS (Base Num)'!G12,'A.XV. RPS (Base Num)'!I12)))</f>
        <v>0.03500000000000003</v>
      </c>
      <c r="E14" s="614">
        <f t="shared" si="0"/>
        <v>0</v>
      </c>
      <c r="F14" s="614">
        <f t="shared" si="1"/>
        <v>0</v>
      </c>
      <c r="J14" s="535"/>
      <c r="K14" s="535"/>
      <c r="L14" s="535"/>
      <c r="M14" s="535"/>
      <c r="N14" s="535"/>
      <c r="O14" s="535"/>
      <c r="P14" s="535"/>
      <c r="Q14" s="535"/>
      <c r="R14" s="535"/>
      <c r="S14" s="535"/>
      <c r="T14" s="535"/>
      <c r="U14" s="535"/>
      <c r="V14" s="535"/>
      <c r="W14" s="535"/>
      <c r="X14" s="535"/>
      <c r="Y14" s="535"/>
      <c r="Z14" s="535"/>
      <c r="AA14" s="535"/>
    </row>
    <row r="15" spans="1:27" ht="12.75">
      <c r="A15" s="608"/>
      <c r="B15" s="616" t="s">
        <v>848</v>
      </c>
      <c r="C15" s="612">
        <f>IF('A.XV. RPS (DetalhadoI)'!D96=1,'A.XV. RPS (Base Num)'!B13,IF('A.XV. RPS (DetalhadoI)'!D96=2,'A.XV. RPS (Base Num)'!D13,IF('A.XV. RPS (DetalhadoI)'!D96=3,'A.XV. RPS (Base Num)'!F13,'A.XV. RPS (Base Num)'!H13)))</f>
        <v>100</v>
      </c>
      <c r="D15" s="613">
        <f>IF('A.XV. RPS (DetalhadoI)'!D96=1,0,IF('A.XV. RPS (DetalhadoI)'!D96=2,'A.XV. RPS (Base Num)'!E13,IF('A.XV. RPS (DetalhadoI)'!D96=3,'A.XV. RPS (Base Num)'!G13,'A.XV. RPS (Base Num)'!I13)))</f>
        <v>0.03500000000000003</v>
      </c>
      <c r="E15" s="614">
        <f t="shared" si="0"/>
        <v>2.1341463414634165</v>
      </c>
      <c r="F15" s="614">
        <f t="shared" si="1"/>
        <v>4.554580606781686</v>
      </c>
      <c r="J15" s="535"/>
      <c r="K15" s="535"/>
      <c r="L15" s="535"/>
      <c r="M15" s="535"/>
      <c r="N15" s="535"/>
      <c r="O15" s="535"/>
      <c r="P15" s="535"/>
      <c r="Q15" s="535"/>
      <c r="R15" s="535"/>
      <c r="S15" s="535"/>
      <c r="T15" s="535"/>
      <c r="U15" s="535"/>
      <c r="V15" s="535"/>
      <c r="W15" s="535"/>
      <c r="X15" s="535"/>
      <c r="Y15" s="535"/>
      <c r="Z15" s="535"/>
      <c r="AA15" s="535"/>
    </row>
    <row r="16" spans="1:27" ht="12.75">
      <c r="A16" s="608"/>
      <c r="B16" s="616" t="s">
        <v>855</v>
      </c>
      <c r="C16" s="612">
        <f>IF('A.XV. RPS (DetalhadoI)'!D102=1,'A.XV. RPS (Base Num)'!B14,IF('A.XV. RPS (DetalhadoI)'!D102=2,'A.XV. RPS (Base Num)'!D14,IF('A.XV. RPS (DetalhadoI)'!D102=3,'A.XV. RPS (Base Num)'!F14,'A.XV. RPS (Base Num)'!H14)))</f>
        <v>100</v>
      </c>
      <c r="D16" s="613">
        <f>IF('A.XV. RPS (DetalhadoI)'!D102=1,0,IF('A.XV. RPS (DetalhadoI)'!D102=2,'A.XV. RPS (Base Num)'!E14,IF('A.XV. RPS (DetalhadoI)'!D102=3,'A.XV. RPS (Base Num)'!G14,'A.XV. RPS (Base Num)'!I14)))</f>
        <v>0.01</v>
      </c>
      <c r="E16" s="614">
        <f t="shared" si="0"/>
        <v>0.6097560975609756</v>
      </c>
      <c r="F16" s="614">
        <f t="shared" si="1"/>
        <v>0.37180249851279</v>
      </c>
      <c r="J16" s="535"/>
      <c r="K16" s="535"/>
      <c r="L16" s="535"/>
      <c r="M16" s="535"/>
      <c r="N16" s="535"/>
      <c r="O16" s="535"/>
      <c r="P16" s="535"/>
      <c r="Q16" s="535"/>
      <c r="R16" s="535"/>
      <c r="S16" s="535"/>
      <c r="T16" s="535"/>
      <c r="U16" s="535"/>
      <c r="V16" s="535"/>
      <c r="W16" s="535"/>
      <c r="X16" s="535"/>
      <c r="Y16" s="535"/>
      <c r="Z16" s="535"/>
      <c r="AA16" s="535"/>
    </row>
    <row r="17" spans="1:27" ht="12.75">
      <c r="A17" s="608"/>
      <c r="B17" s="616" t="s">
        <v>860</v>
      </c>
      <c r="C17" s="612">
        <f>IF('A.XV. RPS (DetalhadoI)'!D108=1,'A.XV. RPS (Base Num)'!B15,IF('A.XV. RPS (DetalhadoI)'!D108=2,'A.XV. RPS (Base Num)'!D15,IF('A.XV. RPS (DetalhadoI)'!D108=3,'A.XV. RPS (Base Num)'!F15,'A.XV. RPS (Base Num)'!H15)))</f>
        <v>35.557273489606494</v>
      </c>
      <c r="D17" s="613">
        <f>IF('A.XV. RPS (DetalhadoI)'!D108=1,0,IF('A.XV. RPS (DetalhadoI)'!D108=2,'A.XV. RPS (Base Num)'!E15,IF('A.XV. RPS (DetalhadoI)'!D108=3,'A.XV. RPS (Base Num)'!G15,'A.XV. RPS (Base Num)'!I15)))</f>
        <v>0.0075</v>
      </c>
      <c r="E17" s="614">
        <f t="shared" si="0"/>
        <v>0.16260948242198095</v>
      </c>
      <c r="F17" s="614">
        <f t="shared" si="1"/>
        <v>0.02644184377354453</v>
      </c>
      <c r="J17" s="535"/>
      <c r="K17" s="536"/>
      <c r="L17" s="536"/>
      <c r="M17" s="536"/>
      <c r="N17" s="535"/>
      <c r="O17" s="535"/>
      <c r="P17" s="535"/>
      <c r="Q17" s="535"/>
      <c r="R17" s="535"/>
      <c r="S17" s="535"/>
      <c r="T17" s="535"/>
      <c r="U17" s="535"/>
      <c r="V17" s="535"/>
      <c r="W17" s="535"/>
      <c r="X17" s="535"/>
      <c r="Y17" s="535"/>
      <c r="Z17" s="535"/>
      <c r="AA17" s="535"/>
    </row>
    <row r="18" spans="1:27" ht="12.75">
      <c r="A18" s="608"/>
      <c r="B18" s="616" t="s">
        <v>866</v>
      </c>
      <c r="C18" s="612">
        <f>IF('A.XV. RPS (DetalhadoI)'!D114=1,'A.XV. RPS (Base Num)'!B16,IF('A.XV. RPS (DetalhadoI)'!D114=2,'A.XV. RPS (Base Num)'!D16,IF('A.XV. RPS (DetalhadoI)'!D114=3,'A.XV. RPS (Base Num)'!F16,'A.XV. RPS (Base Num)'!H16)))</f>
        <v>6.565118370810394</v>
      </c>
      <c r="D18" s="613">
        <f>IF('A.XV. RPS (DetalhadoI)'!D114=1,0,IF('A.XV. RPS (DetalhadoI)'!D114=2,'A.XV. RPS (Base Num)'!E16,IF('A.XV. RPS (DetalhadoI)'!D114=3,'A.XV. RPS (Base Num)'!G16,'A.XV. RPS (Base Num)'!I16)))</f>
        <v>0.008</v>
      </c>
      <c r="E18" s="614">
        <f t="shared" si="0"/>
        <v>0.032024967662489724</v>
      </c>
      <c r="F18" s="614">
        <f t="shared" si="1"/>
        <v>0.0010255985537835125</v>
      </c>
      <c r="J18" s="535"/>
      <c r="K18" s="536"/>
      <c r="L18" s="536"/>
      <c r="M18" s="536"/>
      <c r="N18" s="535"/>
      <c r="O18" s="535"/>
      <c r="P18" s="535"/>
      <c r="Q18" s="535"/>
      <c r="R18" s="535"/>
      <c r="S18" s="535"/>
      <c r="T18" s="535"/>
      <c r="U18" s="535"/>
      <c r="V18" s="535"/>
      <c r="W18" s="535"/>
      <c r="X18" s="535"/>
      <c r="Y18" s="535"/>
      <c r="Z18" s="535"/>
      <c r="AA18" s="535"/>
    </row>
    <row r="19" spans="1:27" ht="12.75">
      <c r="A19" s="608"/>
      <c r="B19" s="616" t="s">
        <v>872</v>
      </c>
      <c r="C19" s="612">
        <f>IF('A.XV. RPS (DetalhadoI)'!D120=1,'A.XV. RPS (Base Num)'!B17,IF('A.XV. RPS (DetalhadoI)'!D120=2,'A.XV. RPS (Base Num)'!D17,IF('A.XV. RPS (DetalhadoI)'!D120=3,'A.XV. RPS (Base Num)'!F17,'A.XV. RPS (Base Num)'!H17)))</f>
        <v>31.541106373181183</v>
      </c>
      <c r="D19" s="613">
        <f>IF('A.XV. RPS (DetalhadoI)'!D120=1,0,IF('A.XV. RPS (DetalhadoI)'!D120=2,'A.XV. RPS (Base Num)'!E17,IF('A.XV. RPS (DetalhadoI)'!D120=3,'A.XV. RPS (Base Num)'!G17,'A.XV. RPS (Base Num)'!I17)))</f>
        <v>0.012712761600000011</v>
      </c>
      <c r="E19" s="614">
        <f t="shared" si="0"/>
        <v>0.24449668653810572</v>
      </c>
      <c r="F19" s="614">
        <f t="shared" si="1"/>
        <v>0.05977862972811272</v>
      </c>
      <c r="J19" s="535"/>
      <c r="K19" s="536"/>
      <c r="L19" s="536"/>
      <c r="M19" s="536"/>
      <c r="N19" s="535"/>
      <c r="O19" s="535"/>
      <c r="P19" s="535"/>
      <c r="Q19" s="535"/>
      <c r="R19" s="535"/>
      <c r="S19" s="535"/>
      <c r="T19" s="535"/>
      <c r="U19" s="535"/>
      <c r="V19" s="535"/>
      <c r="W19" s="535"/>
      <c r="X19" s="535"/>
      <c r="Y19" s="535"/>
      <c r="Z19" s="535"/>
      <c r="AA19" s="535"/>
    </row>
    <row r="20" spans="1:27" ht="12.75">
      <c r="A20" s="608"/>
      <c r="B20" s="616" t="s">
        <v>880</v>
      </c>
      <c r="C20" s="612">
        <f>IF('A.XV. RPS (DetalhadoI)'!D126=1,'A.XV. RPS (Base Num)'!B18,IF('A.XV. RPS (DetalhadoI)'!D126=2,'A.XV. RPS (Base Num)'!D18,IF('A.XV. RPS (DetalhadoI)'!D126=3,'A.XV. RPS (Base Num)'!F18,'A.XV. RPS (Base Num)'!H18)))</f>
        <v>100</v>
      </c>
      <c r="D20" s="613">
        <f>IF('A.XV. RPS (DetalhadoI)'!D126=1,0,IF('A.XV. RPS (DetalhadoI)'!D126=2,'A.XV. RPS (Base Num)'!E18,IF('A.XV. RPS (DetalhadoI)'!D126=3,'A.XV. RPS (Base Num)'!G18,'A.XV. RPS (Base Num)'!I18)))</f>
        <v>0.013333333333333334</v>
      </c>
      <c r="E20" s="614">
        <f t="shared" si="0"/>
        <v>0.8130081300813009</v>
      </c>
      <c r="F20" s="614">
        <f t="shared" si="1"/>
        <v>0.6609822195782935</v>
      </c>
      <c r="J20" s="535"/>
      <c r="K20" s="536"/>
      <c r="L20" s="537"/>
      <c r="M20" s="536"/>
      <c r="N20" s="535"/>
      <c r="O20" s="535"/>
      <c r="P20" s="535"/>
      <c r="Q20" s="535"/>
      <c r="R20" s="535"/>
      <c r="S20" s="535"/>
      <c r="T20" s="535"/>
      <c r="U20" s="535"/>
      <c r="V20" s="535"/>
      <c r="W20" s="535"/>
      <c r="X20" s="535"/>
      <c r="Y20" s="535"/>
      <c r="Z20" s="535"/>
      <c r="AA20" s="535"/>
    </row>
    <row r="21" spans="1:27" ht="12.75" customHeight="1">
      <c r="A21" s="608"/>
      <c r="B21" s="616" t="s">
        <v>884</v>
      </c>
      <c r="C21" s="612">
        <f>IF('A.XV. RPS (DetalhadoI)'!D132=1,'A.XV. RPS (Base Num)'!B19,IF('A.XV. RPS (DetalhadoI)'!D132=2,'A.XV. RPS (Base Num)'!D19,IF('A.XV. RPS (DetalhadoI)'!D132=3,'A.XV. RPS (Base Num)'!F19,'A.XV. RPS (Base Num)'!H19)))</f>
        <v>5.9170429852412445</v>
      </c>
      <c r="D21" s="613">
        <f>IF('A.XV. RPS (DetalhadoI)'!D132=1,0,IF('A.XV. RPS (DetalhadoI)'!D132=2,'A.XV. RPS (Base Num)'!E19,IF('A.XV. RPS (DetalhadoI)'!D132=3,'A.XV. RPS (Base Num)'!G19,'A.XV. RPS (Base Num)'!I19)))</f>
        <v>0.02</v>
      </c>
      <c r="E21" s="614">
        <f t="shared" si="0"/>
        <v>0.07215906079562494</v>
      </c>
      <c r="F21" s="614">
        <f t="shared" si="1"/>
        <v>0.005206930054906696</v>
      </c>
      <c r="J21" s="535"/>
      <c r="K21" s="536"/>
      <c r="L21" s="537">
        <v>1</v>
      </c>
      <c r="M21" s="536"/>
      <c r="N21" s="535"/>
      <c r="O21" s="535"/>
      <c r="P21" s="535"/>
      <c r="Q21" s="535"/>
      <c r="R21" s="535"/>
      <c r="S21" s="535"/>
      <c r="T21" s="535"/>
      <c r="U21" s="535"/>
      <c r="V21" s="535"/>
      <c r="W21" s="535"/>
      <c r="X21" s="535"/>
      <c r="Y21" s="535"/>
      <c r="Z21" s="535"/>
      <c r="AA21" s="535"/>
    </row>
    <row r="22" spans="1:27" ht="12.75">
      <c r="A22" s="608"/>
      <c r="B22" s="618"/>
      <c r="C22" s="619"/>
      <c r="D22" s="620"/>
      <c r="E22" s="621"/>
      <c r="F22" s="621"/>
      <c r="J22" s="535"/>
      <c r="K22" s="536"/>
      <c r="L22" s="537"/>
      <c r="M22" s="536"/>
      <c r="N22" s="535"/>
      <c r="O22" s="535"/>
      <c r="P22" s="535"/>
      <c r="Q22" s="535"/>
      <c r="R22" s="535"/>
      <c r="S22" s="535"/>
      <c r="T22" s="535"/>
      <c r="U22" s="535"/>
      <c r="V22" s="535"/>
      <c r="W22" s="535"/>
      <c r="X22" s="535"/>
      <c r="Y22" s="535"/>
      <c r="Z22" s="535"/>
      <c r="AA22" s="535"/>
    </row>
    <row r="23" spans="1:27" ht="15">
      <c r="A23" s="582" t="s">
        <v>901</v>
      </c>
      <c r="B23" s="583" t="s">
        <v>902</v>
      </c>
      <c r="J23" s="535"/>
      <c r="K23" s="536"/>
      <c r="L23" s="537"/>
      <c r="M23" s="536"/>
      <c r="N23" s="535"/>
      <c r="O23" s="535"/>
      <c r="P23" s="535"/>
      <c r="Q23" s="535"/>
      <c r="R23" s="535"/>
      <c r="S23" s="535"/>
      <c r="T23" s="535"/>
      <c r="U23" s="535"/>
      <c r="V23" s="535"/>
      <c r="W23" s="535"/>
      <c r="X23" s="535"/>
      <c r="Y23" s="535"/>
      <c r="Z23" s="535"/>
      <c r="AA23" s="535"/>
    </row>
    <row r="24" spans="8:27" ht="12.75">
      <c r="H24" s="622" t="s">
        <v>903</v>
      </c>
      <c r="I24" s="622" t="s">
        <v>904</v>
      </c>
      <c r="J24" s="535"/>
      <c r="K24" s="536"/>
      <c r="L24" s="537"/>
      <c r="M24" s="536"/>
      <c r="N24" s="535"/>
      <c r="O24" s="535"/>
      <c r="P24" s="535"/>
      <c r="Q24" s="535"/>
      <c r="R24" s="535"/>
      <c r="S24" s="535"/>
      <c r="T24" s="535"/>
      <c r="U24" s="535"/>
      <c r="V24" s="535"/>
      <c r="W24" s="535"/>
      <c r="X24" s="535"/>
      <c r="Y24" s="535"/>
      <c r="Z24" s="535"/>
      <c r="AA24" s="535"/>
    </row>
    <row r="25" spans="8:27" ht="15">
      <c r="H25" s="623">
        <v>0.95</v>
      </c>
      <c r="I25" s="624" t="e">
        <f>(SUM(F5:F21)^0.5)*1.65</f>
        <v>#DIV/0!</v>
      </c>
      <c r="J25" s="535"/>
      <c r="K25" s="536"/>
      <c r="L25" s="537" t="e">
        <f aca="true" t="shared" si="2" ref="L25:L27">I25/100</f>
        <v>#DIV/0!</v>
      </c>
      <c r="M25" s="536"/>
      <c r="N25" s="535"/>
      <c r="O25" s="535"/>
      <c r="P25" s="535"/>
      <c r="Q25" s="535"/>
      <c r="R25" s="535"/>
      <c r="S25" s="535"/>
      <c r="T25" s="535"/>
      <c r="U25" s="535"/>
      <c r="V25" s="535"/>
      <c r="W25" s="535"/>
      <c r="X25" s="535"/>
      <c r="Y25" s="535"/>
      <c r="Z25" s="535"/>
      <c r="AA25" s="535"/>
    </row>
    <row r="26" spans="1:27" ht="15">
      <c r="A26" s="582" t="s">
        <v>895</v>
      </c>
      <c r="B26" s="531" t="s">
        <v>767</v>
      </c>
      <c r="H26" s="625">
        <v>0.9</v>
      </c>
      <c r="I26" s="624" t="e">
        <f>(SUM(F5:F21)^0.5)*1.29</f>
        <v>#DIV/0!</v>
      </c>
      <c r="J26" s="535"/>
      <c r="K26" s="536"/>
      <c r="L26" s="537" t="e">
        <f t="shared" si="2"/>
        <v>#DIV/0!</v>
      </c>
      <c r="M26" s="536"/>
      <c r="N26" s="535"/>
      <c r="O26" s="535"/>
      <c r="P26" s="535"/>
      <c r="Q26" s="535"/>
      <c r="R26" s="535"/>
      <c r="S26" s="535"/>
      <c r="T26" s="535"/>
      <c r="U26" s="535"/>
      <c r="V26" s="535"/>
      <c r="W26" s="535"/>
      <c r="X26" s="535"/>
      <c r="Y26" s="535"/>
      <c r="Z26" s="535"/>
      <c r="AA26" s="535"/>
    </row>
    <row r="27" spans="2:27" ht="15">
      <c r="B27" s="575" t="s">
        <v>768</v>
      </c>
      <c r="C27" s="626" t="e">
        <f>IF(L21=1,IF(L30&lt;0.0502,0.0502,L30),IF(L21=2,IF(L30&lt;0.0393,0.0393,L30),IF(L21=3,IF(L30&lt;0.0315,0.0315,L30),"ERRO")))</f>
        <v>#DIV/0!</v>
      </c>
      <c r="H27" s="627">
        <v>0.85</v>
      </c>
      <c r="I27" s="624" t="e">
        <f>(SUM(F5:F21)^0.5)*1.035</f>
        <v>#DIV/0!</v>
      </c>
      <c r="J27" s="535"/>
      <c r="K27" s="536"/>
      <c r="L27" s="537" t="e">
        <f t="shared" si="2"/>
        <v>#DIV/0!</v>
      </c>
      <c r="M27" s="536"/>
      <c r="N27" s="535"/>
      <c r="O27" s="535"/>
      <c r="P27" s="535"/>
      <c r="Q27" s="535"/>
      <c r="R27" s="535"/>
      <c r="S27" s="535"/>
      <c r="T27" s="535"/>
      <c r="U27" s="535"/>
      <c r="V27" s="535"/>
      <c r="W27" s="535"/>
      <c r="X27" s="535"/>
      <c r="Y27" s="535"/>
      <c r="Z27" s="535"/>
      <c r="AA27" s="535"/>
    </row>
    <row r="28" spans="10:27" ht="12.75">
      <c r="J28" s="535"/>
      <c r="K28" s="536"/>
      <c r="L28" s="537"/>
      <c r="M28" s="536"/>
      <c r="N28" s="535"/>
      <c r="O28" s="535"/>
      <c r="P28" s="535"/>
      <c r="Q28" s="535"/>
      <c r="R28" s="535"/>
      <c r="S28" s="535"/>
      <c r="T28" s="535"/>
      <c r="U28" s="535"/>
      <c r="V28" s="535"/>
      <c r="W28" s="535"/>
      <c r="X28" s="535"/>
      <c r="Y28" s="535"/>
      <c r="Z28" s="535"/>
      <c r="AA28" s="535"/>
    </row>
    <row r="29" spans="10:27" ht="12.75">
      <c r="J29" s="535"/>
      <c r="K29" s="536"/>
      <c r="L29" s="537"/>
      <c r="M29" s="536"/>
      <c r="N29" s="535"/>
      <c r="O29" s="535"/>
      <c r="P29" s="535"/>
      <c r="Q29" s="535"/>
      <c r="R29" s="535"/>
      <c r="S29" s="535"/>
      <c r="T29" s="535"/>
      <c r="U29" s="535"/>
      <c r="V29" s="535"/>
      <c r="W29" s="535"/>
      <c r="X29" s="535"/>
      <c r="Y29" s="535"/>
      <c r="Z29" s="535"/>
      <c r="AA29" s="535"/>
    </row>
    <row r="30" spans="10:27" ht="12.75">
      <c r="J30" s="535"/>
      <c r="K30" s="536"/>
      <c r="L30" s="536" t="e">
        <f>IF(L21=1,L25,IF(L21=2,L26,IF(L21=3,L27,"ERROR")))</f>
        <v>#DIV/0!</v>
      </c>
      <c r="M30" s="536"/>
      <c r="N30" s="535"/>
      <c r="O30" s="535"/>
      <c r="P30" s="535"/>
      <c r="Q30" s="535"/>
      <c r="R30" s="535"/>
      <c r="S30" s="535"/>
      <c r="T30" s="535"/>
      <c r="U30" s="535"/>
      <c r="V30" s="535"/>
      <c r="W30" s="535"/>
      <c r="X30" s="535"/>
      <c r="Y30" s="535"/>
      <c r="Z30" s="535"/>
      <c r="AA30" s="535"/>
    </row>
    <row r="31" spans="10:27" ht="12.75">
      <c r="J31" s="535"/>
      <c r="K31" s="536"/>
      <c r="L31" s="536"/>
      <c r="M31" s="536"/>
      <c r="N31" s="535"/>
      <c r="O31" s="535"/>
      <c r="P31" s="535"/>
      <c r="Q31" s="535"/>
      <c r="R31" s="535"/>
      <c r="S31" s="535"/>
      <c r="T31" s="535"/>
      <c r="U31" s="535"/>
      <c r="V31" s="535"/>
      <c r="W31" s="535"/>
      <c r="X31" s="535"/>
      <c r="Y31" s="535"/>
      <c r="Z31" s="535"/>
      <c r="AA31" s="535"/>
    </row>
    <row r="32" spans="10:27" ht="12.75">
      <c r="J32" s="535"/>
      <c r="K32" s="536"/>
      <c r="L32" s="536"/>
      <c r="M32" s="536"/>
      <c r="N32" s="535"/>
      <c r="O32" s="535"/>
      <c r="P32" s="535"/>
      <c r="Q32" s="535"/>
      <c r="R32" s="535"/>
      <c r="S32" s="535"/>
      <c r="T32" s="535"/>
      <c r="U32" s="535"/>
      <c r="V32" s="535"/>
      <c r="W32" s="535"/>
      <c r="X32" s="535"/>
      <c r="Y32" s="535"/>
      <c r="Z32" s="535"/>
      <c r="AA32" s="535"/>
    </row>
    <row r="33" spans="10:27" ht="12.75">
      <c r="J33" s="535"/>
      <c r="K33" s="536"/>
      <c r="L33" s="536"/>
      <c r="M33" s="536"/>
      <c r="N33" s="535"/>
      <c r="O33" s="535"/>
      <c r="P33" s="535"/>
      <c r="Q33" s="535"/>
      <c r="R33" s="535"/>
      <c r="S33" s="535"/>
      <c r="T33" s="535"/>
      <c r="U33" s="535"/>
      <c r="V33" s="535"/>
      <c r="W33" s="535"/>
      <c r="X33" s="535"/>
      <c r="Y33" s="535"/>
      <c r="Z33" s="535"/>
      <c r="AA33" s="535"/>
    </row>
    <row r="34" spans="10:27" ht="12.75">
      <c r="J34" s="535"/>
      <c r="K34" s="536"/>
      <c r="L34" s="536"/>
      <c r="M34" s="536"/>
      <c r="N34" s="535"/>
      <c r="O34" s="535"/>
      <c r="P34" s="535"/>
      <c r="Q34" s="535"/>
      <c r="R34" s="535"/>
      <c r="S34" s="535"/>
      <c r="T34" s="535"/>
      <c r="U34" s="535"/>
      <c r="V34" s="535"/>
      <c r="W34" s="535"/>
      <c r="X34" s="535"/>
      <c r="Y34" s="535"/>
      <c r="Z34" s="535"/>
      <c r="AA34" s="535"/>
    </row>
  </sheetData>
  <sheetProtection selectLockedCells="1" selectUnlockedCells="1"/>
  <mergeCells count="1">
    <mergeCell ref="H4:K4"/>
  </mergeCells>
  <printOptions/>
  <pageMargins left="0.5118055555555556" right="0.5118055555555556" top="0.7875" bottom="0.7875" header="0.5118110236220472" footer="0.5118110236220472"/>
  <pageSetup horizontalDpi="300" verticalDpi="300" orientation="portrait" paperSize="9"/>
  <legacyDrawing r:id="rId1"/>
</worksheet>
</file>

<file path=xl/worksheets/sheet45.xml><?xml version="1.0" encoding="utf-8"?>
<worksheet xmlns="http://schemas.openxmlformats.org/spreadsheetml/2006/main" xmlns:r="http://schemas.openxmlformats.org/officeDocument/2006/relationships">
  <dimension ref="A1:J19"/>
  <sheetViews>
    <sheetView workbookViewId="0" topLeftCell="A1">
      <selection activeCell="A1" sqref="A1"/>
    </sheetView>
  </sheetViews>
  <sheetFormatPr defaultColWidth="9.140625" defaultRowHeight="12.75"/>
  <cols>
    <col min="1" max="1" width="40.421875" style="628" customWidth="1"/>
    <col min="2" max="2" width="9.140625" style="56" customWidth="1"/>
    <col min="3" max="3" width="15.00390625" style="56" customWidth="1"/>
    <col min="4" max="4" width="9.140625" style="56" customWidth="1"/>
    <col min="5" max="5" width="15.00390625" style="56" customWidth="1"/>
    <col min="6" max="6" width="9.140625" style="56" customWidth="1"/>
    <col min="7" max="7" width="15.00390625" style="56" customWidth="1"/>
    <col min="8" max="8" width="9.140625" style="56" customWidth="1"/>
    <col min="9" max="9" width="15.00390625" style="56" customWidth="1"/>
    <col min="10" max="10" width="33.7109375" style="629" customWidth="1"/>
    <col min="11" max="16384" width="22.00390625" style="56" customWidth="1"/>
  </cols>
  <sheetData>
    <row r="1" spans="1:10" ht="12.75" customHeight="1">
      <c r="A1" s="630"/>
      <c r="B1" s="631" t="s">
        <v>905</v>
      </c>
      <c r="C1" s="631"/>
      <c r="D1" s="631" t="s">
        <v>892</v>
      </c>
      <c r="E1" s="631"/>
      <c r="F1" s="631" t="s">
        <v>760</v>
      </c>
      <c r="G1" s="631"/>
      <c r="H1" s="631" t="s">
        <v>761</v>
      </c>
      <c r="I1" s="631"/>
      <c r="J1" s="632"/>
    </row>
    <row r="2" spans="1:10" ht="12.75">
      <c r="A2" s="633" t="s">
        <v>749</v>
      </c>
      <c r="B2" s="634" t="s">
        <v>897</v>
      </c>
      <c r="C2" s="634" t="s">
        <v>906</v>
      </c>
      <c r="D2" s="634" t="s">
        <v>897</v>
      </c>
      <c r="E2" s="634" t="s">
        <v>906</v>
      </c>
      <c r="F2" s="634" t="s">
        <v>897</v>
      </c>
      <c r="G2" s="634" t="s">
        <v>906</v>
      </c>
      <c r="H2" s="634" t="s">
        <v>897</v>
      </c>
      <c r="I2" s="634" t="s">
        <v>906</v>
      </c>
      <c r="J2" s="635" t="s">
        <v>907</v>
      </c>
    </row>
    <row r="3" spans="1:10" ht="12.75">
      <c r="A3" s="636" t="s">
        <v>778</v>
      </c>
      <c r="B3" s="637">
        <v>0</v>
      </c>
      <c r="C3" s="638">
        <v>0</v>
      </c>
      <c r="D3" s="639">
        <f>('5. Composição CT'!N26+'5. Composição CT'!N29+'5. Composição CT'!N34+'5. Composição CT'!N38+'5. Composição CT'!N42)*100</f>
        <v>0.7803895295176189</v>
      </c>
      <c r="E3" s="638">
        <v>0.17</v>
      </c>
      <c r="F3" s="639">
        <f aca="true" t="shared" si="0" ref="F3:F19">D3</f>
        <v>0.7803895295176189</v>
      </c>
      <c r="G3" s="638">
        <v>0.22</v>
      </c>
      <c r="H3" s="639">
        <f aca="true" t="shared" si="1" ref="H3:H19">D3</f>
        <v>0.7803895295176189</v>
      </c>
      <c r="I3" s="638">
        <v>0.25</v>
      </c>
      <c r="J3" s="640" t="s">
        <v>908</v>
      </c>
    </row>
    <row r="4" spans="1:10" ht="12.75">
      <c r="A4" s="636" t="s">
        <v>786</v>
      </c>
      <c r="B4" s="637">
        <v>0</v>
      </c>
      <c r="C4" s="638">
        <v>0</v>
      </c>
      <c r="D4" s="639">
        <f>('5. Composição CT'!N27+'5. Composição CT'!N36+'5. Composição CT'!N41+'5. Composição CT'!N43+'5. Composição CT'!N22)*100</f>
        <v>1.4452700700590102</v>
      </c>
      <c r="E4" s="638">
        <v>0.1</v>
      </c>
      <c r="F4" s="639">
        <f t="shared" si="0"/>
        <v>1.4452700700590102</v>
      </c>
      <c r="G4" s="638">
        <v>0.15</v>
      </c>
      <c r="H4" s="639">
        <f t="shared" si="1"/>
        <v>1.4452700700590102</v>
      </c>
      <c r="I4" s="638">
        <v>0.25</v>
      </c>
      <c r="J4" s="641" t="s">
        <v>909</v>
      </c>
    </row>
    <row r="5" spans="1:10" ht="38.25">
      <c r="A5" s="642" t="s">
        <v>792</v>
      </c>
      <c r="B5" s="637">
        <v>0</v>
      </c>
      <c r="C5" s="638">
        <v>0</v>
      </c>
      <c r="D5" s="639">
        <f>('5.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52.66429527799623</v>
      </c>
      <c r="E5" s="638">
        <v>0.04</v>
      </c>
      <c r="F5" s="639">
        <f t="shared" si="0"/>
        <v>52.66429527799623</v>
      </c>
      <c r="G5" s="638">
        <v>0.06</v>
      </c>
      <c r="H5" s="639">
        <f t="shared" si="1"/>
        <v>52.66429527799623</v>
      </c>
      <c r="I5" s="638">
        <v>0.1</v>
      </c>
      <c r="J5" s="641" t="s">
        <v>910</v>
      </c>
    </row>
    <row r="6" spans="1:10" ht="12.75">
      <c r="A6" s="636" t="s">
        <v>911</v>
      </c>
      <c r="B6" s="637">
        <v>0</v>
      </c>
      <c r="C6" s="638">
        <v>0</v>
      </c>
      <c r="D6" s="639">
        <f>('5. Composição CT'!N26+'5. Composição CT'!N29+'5. Composição CT'!N34+'5. Composição CT'!N38+'5. Composição CT'!N42)*100</f>
        <v>0.7803895295176189</v>
      </c>
      <c r="E6" s="638">
        <v>0.04</v>
      </c>
      <c r="F6" s="639">
        <f t="shared" si="0"/>
        <v>0.7803895295176189</v>
      </c>
      <c r="G6" s="638">
        <v>0.07</v>
      </c>
      <c r="H6" s="639">
        <f t="shared" si="1"/>
        <v>0.7803895295176189</v>
      </c>
      <c r="I6" s="638">
        <v>0.11</v>
      </c>
      <c r="J6" s="640" t="s">
        <v>908</v>
      </c>
    </row>
    <row r="7" spans="1:10" ht="12.75">
      <c r="A7" s="636" t="s">
        <v>808</v>
      </c>
      <c r="B7" s="637">
        <v>0</v>
      </c>
      <c r="C7" s="638">
        <v>0</v>
      </c>
      <c r="D7" s="639">
        <f>('5. Composição CT'!N6+'5. Composição CT'!N10+'5. Composição CT'!N29+'5. Composição CT'!N34)*100</f>
        <v>22.615794053539766</v>
      </c>
      <c r="E7" s="638">
        <v>0.002247000000000002</v>
      </c>
      <c r="F7" s="639">
        <f t="shared" si="0"/>
        <v>22.615794053539766</v>
      </c>
      <c r="G7" s="638">
        <v>0.0069406093680000076</v>
      </c>
      <c r="H7" s="639">
        <f t="shared" si="1"/>
        <v>22.615794053539766</v>
      </c>
      <c r="I7" s="638">
        <v>0.0075</v>
      </c>
      <c r="J7" s="641" t="s">
        <v>912</v>
      </c>
    </row>
    <row r="8" spans="1:10" ht="12.75">
      <c r="A8" s="636" t="s">
        <v>815</v>
      </c>
      <c r="B8" s="637">
        <v>0</v>
      </c>
      <c r="C8" s="638">
        <v>0</v>
      </c>
      <c r="D8" s="639">
        <v>100</v>
      </c>
      <c r="E8" s="638">
        <v>0.037142857142857144</v>
      </c>
      <c r="F8" s="639">
        <f t="shared" si="0"/>
        <v>100</v>
      </c>
      <c r="G8" s="638">
        <v>0.055714285714285716</v>
      </c>
      <c r="H8" s="639">
        <f t="shared" si="1"/>
        <v>100</v>
      </c>
      <c r="I8" s="638">
        <v>0.0946</v>
      </c>
      <c r="J8" s="643" t="s">
        <v>564</v>
      </c>
    </row>
    <row r="9" spans="1:10" ht="12.75">
      <c r="A9" s="636" t="s">
        <v>823</v>
      </c>
      <c r="B9" s="637">
        <v>0</v>
      </c>
      <c r="C9" s="638">
        <v>0</v>
      </c>
      <c r="D9" s="639" t="e">
        <f>(1-(1/(1+('1.1. Passageiros'!D8+0.5*'1.1. Passageiros'!D7))/'1.1. Passageiros'!D11))*100</f>
        <v>#DIV/0!</v>
      </c>
      <c r="E9" s="638">
        <v>0.017920000000000016</v>
      </c>
      <c r="F9" s="639" t="e">
        <f t="shared" si="0"/>
        <v>#DIV/0!</v>
      </c>
      <c r="G9" s="638">
        <v>0.02240000000000002</v>
      </c>
      <c r="H9" s="639" t="e">
        <f t="shared" si="1"/>
        <v>#DIV/0!</v>
      </c>
      <c r="I9" s="638">
        <v>0.03136000000000003</v>
      </c>
      <c r="J9" s="643" t="s">
        <v>564</v>
      </c>
    </row>
    <row r="10" spans="1:10" ht="12.75">
      <c r="A10" s="636" t="s">
        <v>830</v>
      </c>
      <c r="B10" s="637">
        <v>0</v>
      </c>
      <c r="C10" s="638">
        <v>0</v>
      </c>
      <c r="D10" s="639" t="e">
        <f>('1.1. Passageiros'!D57/'1.1. Passageiros'!C52)*100</f>
        <v>#VALUE!</v>
      </c>
      <c r="E10" s="638">
        <v>0.029960000000000032</v>
      </c>
      <c r="F10" s="639" t="e">
        <f t="shared" si="0"/>
        <v>#VALUE!</v>
      </c>
      <c r="G10" s="638">
        <v>0.04815440000000004</v>
      </c>
      <c r="H10" s="639" t="e">
        <f t="shared" si="1"/>
        <v>#VALUE!</v>
      </c>
      <c r="I10" s="638">
        <v>0.06889601600000009</v>
      </c>
      <c r="J10" s="643" t="s">
        <v>564</v>
      </c>
    </row>
    <row r="11" spans="1:10" ht="12.75">
      <c r="A11" s="636" t="s">
        <v>836</v>
      </c>
      <c r="B11" s="637">
        <v>0</v>
      </c>
      <c r="C11" s="638">
        <v>0</v>
      </c>
      <c r="D11" s="639">
        <v>100</v>
      </c>
      <c r="E11" s="638">
        <v>0.008</v>
      </c>
      <c r="F11" s="639">
        <f t="shared" si="0"/>
        <v>100</v>
      </c>
      <c r="G11" s="638">
        <v>0.012</v>
      </c>
      <c r="H11" s="639">
        <f t="shared" si="1"/>
        <v>100</v>
      </c>
      <c r="I11" s="638">
        <v>0.024</v>
      </c>
      <c r="J11" s="643" t="s">
        <v>564</v>
      </c>
    </row>
    <row r="12" spans="1:10" ht="12.75">
      <c r="A12" s="636" t="s">
        <v>844</v>
      </c>
      <c r="B12" s="637">
        <v>0</v>
      </c>
      <c r="C12" s="638">
        <v>0</v>
      </c>
      <c r="D12" s="639">
        <f>('2.1.c Insumos'!F105/'4. Custo Total'!H1)*100</f>
        <v>0</v>
      </c>
      <c r="E12" s="638">
        <v>0.005833333333333334</v>
      </c>
      <c r="F12" s="639">
        <f t="shared" si="0"/>
        <v>0</v>
      </c>
      <c r="G12" s="638">
        <v>0.03500000000000003</v>
      </c>
      <c r="H12" s="639">
        <f t="shared" si="1"/>
        <v>0</v>
      </c>
      <c r="I12" s="638">
        <v>0.07490000000000008</v>
      </c>
      <c r="J12" s="643" t="s">
        <v>564</v>
      </c>
    </row>
    <row r="13" spans="1:10" ht="12.75">
      <c r="A13" s="636" t="s">
        <v>848</v>
      </c>
      <c r="B13" s="637">
        <v>0</v>
      </c>
      <c r="C13" s="638">
        <v>0</v>
      </c>
      <c r="D13" s="639">
        <v>100</v>
      </c>
      <c r="E13" s="638">
        <v>0.005833333333333334</v>
      </c>
      <c r="F13" s="639">
        <f t="shared" si="0"/>
        <v>100</v>
      </c>
      <c r="G13" s="638">
        <v>0.03500000000000003</v>
      </c>
      <c r="H13" s="639">
        <f t="shared" si="1"/>
        <v>100</v>
      </c>
      <c r="I13" s="638">
        <v>0.07490000000000008</v>
      </c>
      <c r="J13" s="643" t="s">
        <v>564</v>
      </c>
    </row>
    <row r="14" spans="1:10" ht="12.75">
      <c r="A14" s="636" t="s">
        <v>855</v>
      </c>
      <c r="B14" s="637">
        <v>0</v>
      </c>
      <c r="C14" s="638">
        <v>0</v>
      </c>
      <c r="D14" s="639">
        <v>100</v>
      </c>
      <c r="E14" s="638">
        <v>0.005</v>
      </c>
      <c r="F14" s="639">
        <f t="shared" si="0"/>
        <v>100</v>
      </c>
      <c r="G14" s="638">
        <v>0.01</v>
      </c>
      <c r="H14" s="639">
        <f t="shared" si="1"/>
        <v>100</v>
      </c>
      <c r="I14" s="638">
        <v>0.012</v>
      </c>
      <c r="J14" s="643" t="s">
        <v>564</v>
      </c>
    </row>
    <row r="15" spans="1:10" ht="12.75">
      <c r="A15" s="636" t="s">
        <v>860</v>
      </c>
      <c r="B15" s="637">
        <v>0</v>
      </c>
      <c r="C15" s="638">
        <v>0</v>
      </c>
      <c r="D15" s="639">
        <f>(SUM('5. Composição CT'!N6:N10)+'5. Composição CT'!N25+'5. Composição CT'!N33)*100</f>
        <v>35.557273489606494</v>
      </c>
      <c r="E15" s="638">
        <v>0.005</v>
      </c>
      <c r="F15" s="639">
        <f t="shared" si="0"/>
        <v>35.557273489606494</v>
      </c>
      <c r="G15" s="638">
        <v>0.0075</v>
      </c>
      <c r="H15" s="639">
        <f t="shared" si="1"/>
        <v>35.557273489606494</v>
      </c>
      <c r="I15" s="638">
        <v>0.01</v>
      </c>
      <c r="J15" s="641" t="s">
        <v>913</v>
      </c>
    </row>
    <row r="16" spans="1:10" ht="12.75">
      <c r="A16" s="636" t="s">
        <v>866</v>
      </c>
      <c r="B16" s="637">
        <v>0</v>
      </c>
      <c r="C16" s="638">
        <v>0</v>
      </c>
      <c r="D16" s="639">
        <f>('5. Composição CT'!N25+'5. Composição CT'!N27+'5. Composição CT'!N33+'5. Composição CT'!N36+'5. Composição CT'!N41+'5. Composição CT'!N29+'5. Composição CT'!N38)*100</f>
        <v>6.565118370810394</v>
      </c>
      <c r="E16" s="638">
        <v>0.004</v>
      </c>
      <c r="F16" s="639">
        <f t="shared" si="0"/>
        <v>6.565118370810394</v>
      </c>
      <c r="G16" s="638">
        <v>0.008</v>
      </c>
      <c r="H16" s="639">
        <f t="shared" si="1"/>
        <v>6.565118370810394</v>
      </c>
      <c r="I16" s="638">
        <v>0.015</v>
      </c>
      <c r="J16" s="641" t="s">
        <v>914</v>
      </c>
    </row>
    <row r="17" spans="1:10" ht="15.75" customHeight="1">
      <c r="A17" s="636" t="s">
        <v>872</v>
      </c>
      <c r="B17" s="637">
        <v>0</v>
      </c>
      <c r="C17" s="638">
        <v>0</v>
      </c>
      <c r="D17" s="639">
        <f>('5. Composição CT'!N14+'5. Composição CT'!N15)*100</f>
        <v>31.541106373181183</v>
      </c>
      <c r="E17" s="638">
        <v>0.003696000000000003</v>
      </c>
      <c r="F17" s="639">
        <f t="shared" si="0"/>
        <v>31.541106373181183</v>
      </c>
      <c r="G17" s="638">
        <v>0.012712761600000011</v>
      </c>
      <c r="H17" s="639">
        <f t="shared" si="1"/>
        <v>31.541106373181183</v>
      </c>
      <c r="I17" s="638">
        <v>0.0264</v>
      </c>
      <c r="J17" s="643" t="s">
        <v>915</v>
      </c>
    </row>
    <row r="18" spans="1:10" ht="12.75" customHeight="1">
      <c r="A18" s="636" t="s">
        <v>880</v>
      </c>
      <c r="B18" s="637">
        <v>0</v>
      </c>
      <c r="C18" s="638">
        <v>0</v>
      </c>
      <c r="D18" s="639">
        <v>100</v>
      </c>
      <c r="E18" s="638">
        <v>0.013333333333333334</v>
      </c>
      <c r="F18" s="639">
        <f t="shared" si="0"/>
        <v>100</v>
      </c>
      <c r="G18" s="638">
        <v>0.013333333333333334</v>
      </c>
      <c r="H18" s="639">
        <f t="shared" si="1"/>
        <v>100</v>
      </c>
      <c r="I18" s="638">
        <v>0.013333333333333334</v>
      </c>
      <c r="J18" s="643" t="s">
        <v>564</v>
      </c>
    </row>
    <row r="19" spans="1:10" ht="25.5">
      <c r="A19" s="636" t="s">
        <v>884</v>
      </c>
      <c r="B19" s="637">
        <v>0</v>
      </c>
      <c r="C19" s="638">
        <v>0</v>
      </c>
      <c r="D19" s="639">
        <f>(SUM('5. Composição CT'!N25:N29)+SUM('5. Composição CT'!N33:N38))*100</f>
        <v>5.9170429852412445</v>
      </c>
      <c r="E19" s="638">
        <v>0.016</v>
      </c>
      <c r="F19" s="639">
        <f t="shared" si="0"/>
        <v>5.9170429852412445</v>
      </c>
      <c r="G19" s="638">
        <v>0.02</v>
      </c>
      <c r="H19" s="639">
        <f t="shared" si="1"/>
        <v>5.9170429852412445</v>
      </c>
      <c r="I19" s="638">
        <v>0.025</v>
      </c>
      <c r="J19" s="640" t="s">
        <v>916</v>
      </c>
    </row>
  </sheetData>
  <sheetProtection selectLockedCells="1" selectUnlockedCells="1"/>
  <mergeCells count="4">
    <mergeCell ref="B1:C1"/>
    <mergeCell ref="D1:E1"/>
    <mergeCell ref="F1:G1"/>
    <mergeCell ref="H1:I1"/>
  </mergeCells>
  <printOptions/>
  <pageMargins left="0.5118055555555556" right="0.5118055555555556" top="0.7875" bottom="0.78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sheetPr>
    <tabColor indexed="22"/>
  </sheetPr>
  <dimension ref="B3:I49"/>
  <sheetViews>
    <sheetView workbookViewId="0" topLeftCell="A31">
      <selection activeCell="F42" sqref="F42"/>
    </sheetView>
  </sheetViews>
  <sheetFormatPr defaultColWidth="9.140625" defaultRowHeight="12.75"/>
  <cols>
    <col min="1" max="1" width="9.140625" style="0" customWidth="1"/>
    <col min="2" max="2" width="50.00390625" style="0" customWidth="1"/>
    <col min="3" max="3" width="17.421875" style="0" customWidth="1"/>
    <col min="4" max="4" width="13.28125" style="0" customWidth="1"/>
  </cols>
  <sheetData>
    <row r="2" ht="13.5"/>
    <row r="3" spans="2:9" ht="15.75">
      <c r="B3" s="522" t="s">
        <v>917</v>
      </c>
      <c r="C3" s="583">
        <v>12</v>
      </c>
      <c r="F3" s="534" t="s">
        <v>16</v>
      </c>
      <c r="G3" s="534"/>
      <c r="H3" s="534"/>
      <c r="I3" s="534"/>
    </row>
    <row r="4" spans="4:9" ht="15">
      <c r="D4" s="644" t="s">
        <v>918</v>
      </c>
      <c r="F4" s="538"/>
      <c r="G4" s="539"/>
      <c r="H4" s="539"/>
      <c r="I4" s="585"/>
    </row>
    <row r="5" spans="2:9" ht="15">
      <c r="B5" s="645" t="s">
        <v>919</v>
      </c>
      <c r="C5" s="646"/>
      <c r="D5" s="646">
        <f>C5*$C$3</f>
        <v>0</v>
      </c>
      <c r="F5" s="543"/>
      <c r="G5" s="21"/>
      <c r="H5" s="587" t="s">
        <v>18</v>
      </c>
      <c r="I5" s="588"/>
    </row>
    <row r="6" spans="2:9" ht="15">
      <c r="B6" s="140"/>
      <c r="C6" s="647"/>
      <c r="F6" s="543"/>
      <c r="G6" s="27"/>
      <c r="H6" s="587" t="s">
        <v>20</v>
      </c>
      <c r="I6" s="588"/>
    </row>
    <row r="7" spans="2:9" ht="15">
      <c r="B7" s="152" t="s">
        <v>920</v>
      </c>
      <c r="C7" s="646">
        <v>201.03</v>
      </c>
      <c r="D7" s="646">
        <f aca="true" t="shared" si="0" ref="D7:D10">C7*$C$3</f>
        <v>2412.36</v>
      </c>
      <c r="F7" s="543"/>
      <c r="G7" s="28"/>
      <c r="H7" s="587" t="s">
        <v>22</v>
      </c>
      <c r="I7" s="588"/>
    </row>
    <row r="8" spans="2:9" ht="15.75">
      <c r="B8" s="139" t="s">
        <v>921</v>
      </c>
      <c r="C8" s="646">
        <f>219.45+502.16</f>
        <v>721.61</v>
      </c>
      <c r="D8" s="646">
        <f t="shared" si="0"/>
        <v>8659.32</v>
      </c>
      <c r="F8" s="550"/>
      <c r="G8" s="551"/>
      <c r="H8" s="551"/>
      <c r="I8" s="592"/>
    </row>
    <row r="9" spans="2:4" ht="12.75">
      <c r="B9" s="139" t="s">
        <v>922</v>
      </c>
      <c r="C9" s="646"/>
      <c r="D9" s="646">
        <f t="shared" si="0"/>
        <v>0</v>
      </c>
    </row>
    <row r="10" spans="2:4" ht="12.75">
      <c r="B10" s="139" t="s">
        <v>923</v>
      </c>
      <c r="C10" s="646">
        <f>74.95+1147.8</f>
        <v>1222.75</v>
      </c>
      <c r="D10" s="646">
        <f t="shared" si="0"/>
        <v>14673</v>
      </c>
    </row>
    <row r="11" spans="2:3" ht="12.75">
      <c r="B11" s="140"/>
      <c r="C11" s="309"/>
    </row>
    <row r="12" spans="2:4" ht="12.75">
      <c r="B12" s="648" t="s">
        <v>924</v>
      </c>
      <c r="C12" s="649">
        <f>SUM(C7:C10)</f>
        <v>2145.39</v>
      </c>
      <c r="D12" s="649">
        <f>SUM(D7:D10)</f>
        <v>25744.68</v>
      </c>
    </row>
    <row r="13" spans="2:3" ht="12.75">
      <c r="B13" s="650"/>
      <c r="C13" s="309"/>
    </row>
    <row r="14" spans="2:4" ht="12.75">
      <c r="B14" s="140" t="s">
        <v>925</v>
      </c>
      <c r="C14" s="646">
        <v>1029.08</v>
      </c>
      <c r="D14" s="646">
        <f aca="true" t="shared" si="1" ref="D14:D15">C14*$C$3</f>
        <v>12348.96</v>
      </c>
    </row>
    <row r="15" spans="2:4" ht="12.75">
      <c r="B15" s="140" t="s">
        <v>926</v>
      </c>
      <c r="C15" s="646"/>
      <c r="D15" s="646">
        <f t="shared" si="1"/>
        <v>0</v>
      </c>
    </row>
    <row r="16" spans="2:3" ht="12.75">
      <c r="B16" s="140"/>
      <c r="C16" s="647"/>
    </row>
    <row r="17" spans="2:4" ht="12.75">
      <c r="B17" s="139" t="s">
        <v>927</v>
      </c>
      <c r="C17" s="646">
        <v>259.44</v>
      </c>
      <c r="D17" s="646">
        <f aca="true" t="shared" si="2" ref="D17:D19">C17*$C$3</f>
        <v>3113.2799999999997</v>
      </c>
    </row>
    <row r="18" spans="2:4" ht="12.75">
      <c r="B18" s="139" t="s">
        <v>928</v>
      </c>
      <c r="C18" s="646">
        <v>502.74</v>
      </c>
      <c r="D18" s="646">
        <f t="shared" si="2"/>
        <v>6032.88</v>
      </c>
    </row>
    <row r="19" spans="2:4" ht="12.75">
      <c r="B19" s="139" t="s">
        <v>929</v>
      </c>
      <c r="C19" s="646"/>
      <c r="D19" s="646">
        <f t="shared" si="2"/>
        <v>0</v>
      </c>
    </row>
    <row r="20" spans="2:3" ht="12.75">
      <c r="B20" s="140"/>
      <c r="C20" s="309"/>
    </row>
    <row r="21" spans="2:4" ht="12.75">
      <c r="B21" s="648" t="s">
        <v>930</v>
      </c>
      <c r="C21" s="649">
        <f>SUM(C17:C19)</f>
        <v>762.1800000000001</v>
      </c>
      <c r="D21" s="649">
        <f>SUM(D17:D19)</f>
        <v>9146.16</v>
      </c>
    </row>
    <row r="22" spans="2:3" ht="12.75">
      <c r="B22" s="648"/>
      <c r="C22" s="309"/>
    </row>
    <row r="23" spans="2:4" ht="12.75">
      <c r="B23" s="139" t="s">
        <v>931</v>
      </c>
      <c r="C23" s="646">
        <f>250.56+1123.15</f>
        <v>1373.71</v>
      </c>
      <c r="D23" s="646">
        <f>C23*$C$3</f>
        <v>16484.52</v>
      </c>
    </row>
    <row r="24" spans="2:4" ht="12.75">
      <c r="B24" s="139" t="s">
        <v>932</v>
      </c>
      <c r="C24" s="651"/>
      <c r="D24" s="651"/>
    </row>
    <row r="25" spans="2:4" ht="12.75">
      <c r="B25" s="139" t="s">
        <v>933</v>
      </c>
      <c r="C25" s="651">
        <v>102.57</v>
      </c>
      <c r="D25" s="651">
        <f>C25*$C$3</f>
        <v>1230.84</v>
      </c>
    </row>
    <row r="26" spans="2:3" ht="12.75">
      <c r="B26" s="652"/>
      <c r="C26" s="309"/>
    </row>
    <row r="27" spans="2:4" ht="12.75">
      <c r="B27" s="648" t="s">
        <v>934</v>
      </c>
      <c r="C27" s="649">
        <f>SUM(C23:C25)</f>
        <v>1476.28</v>
      </c>
      <c r="D27" s="649">
        <f>SUM(D23:D25)</f>
        <v>17715.36</v>
      </c>
    </row>
    <row r="28" spans="2:3" ht="12.75">
      <c r="B28" s="648"/>
      <c r="C28" s="309"/>
    </row>
    <row r="29" spans="2:4" ht="12.75">
      <c r="B29" s="645" t="s">
        <v>935</v>
      </c>
      <c r="C29" s="646">
        <f>34.8+59.1</f>
        <v>93.9</v>
      </c>
      <c r="D29" s="646">
        <f aca="true" t="shared" si="3" ref="D29:D33">C29*$C$3</f>
        <v>1126.8000000000002</v>
      </c>
    </row>
    <row r="30" spans="2:4" ht="12.75">
      <c r="B30" s="645" t="s">
        <v>936</v>
      </c>
      <c r="C30" s="646">
        <v>0</v>
      </c>
      <c r="D30" s="646">
        <f t="shared" si="3"/>
        <v>0</v>
      </c>
    </row>
    <row r="31" spans="2:4" ht="12.75">
      <c r="B31" s="645" t="s">
        <v>937</v>
      </c>
      <c r="C31" s="646"/>
      <c r="D31" s="646">
        <f t="shared" si="3"/>
        <v>0</v>
      </c>
    </row>
    <row r="32" spans="2:4" ht="12.75">
      <c r="B32" s="645" t="s">
        <v>938</v>
      </c>
      <c r="C32" s="646"/>
      <c r="D32" s="646">
        <f t="shared" si="3"/>
        <v>0</v>
      </c>
    </row>
    <row r="33" spans="2:4" ht="12.75">
      <c r="B33" s="645" t="s">
        <v>939</v>
      </c>
      <c r="C33" s="646">
        <v>0</v>
      </c>
      <c r="D33" s="646">
        <f t="shared" si="3"/>
        <v>0</v>
      </c>
    </row>
    <row r="34" spans="2:3" ht="12.75">
      <c r="B34" s="652"/>
      <c r="C34" s="647"/>
    </row>
    <row r="35" spans="2:4" ht="12.75">
      <c r="B35" s="139" t="s">
        <v>940</v>
      </c>
      <c r="C35" s="646">
        <v>0</v>
      </c>
      <c r="D35" s="646">
        <f aca="true" t="shared" si="4" ref="D35:D43">C35*$C$3</f>
        <v>0</v>
      </c>
    </row>
    <row r="36" spans="2:4" ht="12.75">
      <c r="B36" s="139" t="s">
        <v>941</v>
      </c>
      <c r="C36" s="646">
        <v>0</v>
      </c>
      <c r="D36" s="646">
        <f t="shared" si="4"/>
        <v>0</v>
      </c>
    </row>
    <row r="37" spans="2:4" ht="12.75">
      <c r="B37" s="139" t="s">
        <v>942</v>
      </c>
      <c r="C37" s="646">
        <v>0</v>
      </c>
      <c r="D37" s="646">
        <f t="shared" si="4"/>
        <v>0</v>
      </c>
    </row>
    <row r="38" spans="2:4" ht="12.75">
      <c r="B38" s="139" t="s">
        <v>943</v>
      </c>
      <c r="C38" s="646"/>
      <c r="D38" s="646">
        <f t="shared" si="4"/>
        <v>0</v>
      </c>
    </row>
    <row r="39" spans="2:4" ht="12.75">
      <c r="B39" s="139" t="s">
        <v>944</v>
      </c>
      <c r="C39" s="646">
        <v>2120</v>
      </c>
      <c r="D39" s="646">
        <f t="shared" si="4"/>
        <v>25440</v>
      </c>
    </row>
    <row r="40" spans="2:4" ht="12.75">
      <c r="B40" s="139" t="s">
        <v>945</v>
      </c>
      <c r="C40" s="646">
        <f>128.04+58.8+18</f>
        <v>204.83999999999997</v>
      </c>
      <c r="D40" s="646">
        <f t="shared" si="4"/>
        <v>2458.08</v>
      </c>
    </row>
    <row r="41" spans="2:4" ht="12.75">
      <c r="B41" s="139" t="s">
        <v>946</v>
      </c>
      <c r="C41" s="646">
        <v>490</v>
      </c>
      <c r="D41" s="646">
        <f t="shared" si="4"/>
        <v>5880</v>
      </c>
    </row>
    <row r="42" spans="2:4" ht="12.75">
      <c r="B42" s="139" t="s">
        <v>947</v>
      </c>
      <c r="C42" s="646">
        <v>0</v>
      </c>
      <c r="D42" s="646">
        <f t="shared" si="4"/>
        <v>0</v>
      </c>
    </row>
    <row r="43" spans="2:4" ht="12.75">
      <c r="B43" s="139" t="s">
        <v>948</v>
      </c>
      <c r="C43" s="646"/>
      <c r="D43" s="646">
        <f t="shared" si="4"/>
        <v>0</v>
      </c>
    </row>
    <row r="44" spans="2:3" ht="12.75">
      <c r="B44" s="652"/>
      <c r="C44" s="309"/>
    </row>
    <row r="45" spans="2:4" ht="12.75">
      <c r="B45" s="648" t="s">
        <v>949</v>
      </c>
      <c r="C45" s="649">
        <f>SUM(C35:C43)</f>
        <v>2814.84</v>
      </c>
      <c r="D45" s="649">
        <f>SUM(D35:D43)</f>
        <v>33778.08</v>
      </c>
    </row>
    <row r="46" spans="2:3" ht="12.75">
      <c r="B46" s="140"/>
      <c r="C46" s="309" t="s">
        <v>950</v>
      </c>
    </row>
    <row r="47" spans="2:4" ht="12.75">
      <c r="B47" s="645" t="s">
        <v>951</v>
      </c>
      <c r="C47" s="651"/>
      <c r="D47" s="651"/>
    </row>
    <row r="48" ht="12.75">
      <c r="C48" s="309" t="s">
        <v>950</v>
      </c>
    </row>
    <row r="49" spans="2:4" ht="12.75">
      <c r="B49" s="653" t="s">
        <v>952</v>
      </c>
      <c r="C49" s="654">
        <f>C47+C45+SUM(C29:C33)+C27+C21+C12+C5+C14+C15</f>
        <v>8321.67</v>
      </c>
      <c r="D49" s="654">
        <f>D47+D45+SUM(D29:D33)+D27+D21+D12+D5+D14+D15</f>
        <v>99860.04000000001</v>
      </c>
    </row>
  </sheetData>
  <sheetProtection selectLockedCells="1" selectUnlockedCells="1"/>
  <mergeCells count="1">
    <mergeCell ref="F3:I3"/>
  </mergeCells>
  <hyperlinks>
    <hyperlink ref="B3" location="'2.1.c Insumos'!A1" display="XVI. Cálculo das Despesas Gerais"/>
  </hyperlinks>
  <printOptions/>
  <pageMargins left="0.5118055555555556" right="0.5118055555555556" top="0.7875" bottom="0.78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A1:M76"/>
  <sheetViews>
    <sheetView workbookViewId="0" topLeftCell="A4">
      <selection activeCell="E25" sqref="E25"/>
    </sheetView>
  </sheetViews>
  <sheetFormatPr defaultColWidth="9.140625" defaultRowHeight="12.75" zeroHeight="1"/>
  <cols>
    <col min="1" max="1" width="7.421875" style="103" customWidth="1"/>
    <col min="2" max="2" width="20.8515625" style="104" customWidth="1"/>
    <col min="3" max="3" width="5.140625" style="104" customWidth="1"/>
    <col min="4" max="4" width="28.00390625" style="103" customWidth="1"/>
    <col min="5" max="5" width="15.28125" style="12" customWidth="1"/>
    <col min="6" max="6" width="12.00390625" style="104" customWidth="1"/>
    <col min="7" max="7" width="11.421875" style="12" customWidth="1"/>
    <col min="8" max="8" width="0.9921875" style="12" customWidth="1"/>
    <col min="9" max="9" width="11.421875" style="12" customWidth="1"/>
    <col min="10" max="10" width="4.57421875" style="12" customWidth="1"/>
    <col min="11" max="11" width="12.8515625" style="12" customWidth="1"/>
    <col min="12" max="12" width="11.421875" style="12" customWidth="1"/>
    <col min="13" max="13" width="27.7109375" style="12" customWidth="1"/>
    <col min="14" max="16384" width="11.421875" style="12" customWidth="1"/>
  </cols>
  <sheetData>
    <row r="1" spans="1:10" ht="15.75">
      <c r="A1" s="13" t="s">
        <v>169</v>
      </c>
      <c r="B1" s="13"/>
      <c r="C1" s="13"/>
      <c r="D1" s="13"/>
      <c r="E1" s="13"/>
      <c r="F1" s="13"/>
      <c r="G1" s="13"/>
      <c r="H1" s="13"/>
      <c r="I1" s="13"/>
      <c r="J1" s="13"/>
    </row>
    <row r="2" spans="10:13" ht="15.75">
      <c r="J2" s="15" t="s">
        <v>16</v>
      </c>
      <c r="K2" s="15"/>
      <c r="L2" s="15"/>
      <c r="M2" s="15"/>
    </row>
    <row r="3" spans="1:13" ht="15">
      <c r="A3" s="16" t="s">
        <v>170</v>
      </c>
      <c r="J3" s="17"/>
      <c r="K3" s="18"/>
      <c r="L3" s="18"/>
      <c r="M3" s="19"/>
    </row>
    <row r="4" spans="1:13" ht="15">
      <c r="A4" s="16"/>
      <c r="J4" s="20"/>
      <c r="K4" s="21"/>
      <c r="L4" s="22" t="s">
        <v>18</v>
      </c>
      <c r="M4" s="23"/>
    </row>
    <row r="5" spans="1:13" ht="15" hidden="1">
      <c r="A5" s="105" t="s">
        <v>171</v>
      </c>
      <c r="B5" s="106" t="s">
        <v>172</v>
      </c>
      <c r="C5" s="106"/>
      <c r="E5" s="107"/>
      <c r="F5" s="104" t="s">
        <v>173</v>
      </c>
      <c r="J5" s="20"/>
      <c r="K5" s="27"/>
      <c r="L5" s="22" t="s">
        <v>20</v>
      </c>
      <c r="M5" s="23"/>
    </row>
    <row r="6" spans="1:13" ht="15" hidden="1">
      <c r="A6" s="105" t="s">
        <v>174</v>
      </c>
      <c r="B6" s="106" t="s">
        <v>175</v>
      </c>
      <c r="C6" s="106"/>
      <c r="E6" s="108">
        <f>SUM('1.1. Passageiros'!C52:L52)</f>
        <v>0</v>
      </c>
      <c r="F6" s="104" t="s">
        <v>176</v>
      </c>
      <c r="J6" s="20"/>
      <c r="K6" s="28"/>
      <c r="L6" s="22" t="s">
        <v>22</v>
      </c>
      <c r="M6" s="23"/>
    </row>
    <row r="7" spans="1:13" ht="15.75" hidden="1">
      <c r="A7" s="105" t="s">
        <v>177</v>
      </c>
      <c r="B7" s="104" t="s">
        <v>178</v>
      </c>
      <c r="E7" s="109">
        <f>'1.1. Passageiros'!D11</f>
        <v>0</v>
      </c>
      <c r="F7" s="104" t="s">
        <v>179</v>
      </c>
      <c r="J7" s="29"/>
      <c r="K7" s="30"/>
      <c r="L7" s="30"/>
      <c r="M7" s="31"/>
    </row>
    <row r="8" spans="1:6" ht="15" hidden="1">
      <c r="A8" s="105" t="s">
        <v>180</v>
      </c>
      <c r="B8" s="104" t="s">
        <v>181</v>
      </c>
      <c r="E8" s="109" t="e">
        <f>E6/E5</f>
        <v>#DIV/0!</v>
      </c>
      <c r="F8" s="104" t="s">
        <v>179</v>
      </c>
    </row>
    <row r="9" spans="1:6" ht="15">
      <c r="A9" s="105" t="s">
        <v>182</v>
      </c>
      <c r="B9" s="104" t="s">
        <v>183</v>
      </c>
      <c r="E9" s="109">
        <f>'1.2. KM programada'!D10</f>
        <v>43261</v>
      </c>
      <c r="F9" s="104" t="s">
        <v>184</v>
      </c>
    </row>
    <row r="10" ht="15"/>
    <row r="11" spans="1:6" ht="15" hidden="1">
      <c r="A11" s="105" t="s">
        <v>185</v>
      </c>
      <c r="B11" s="104" t="s">
        <v>186</v>
      </c>
      <c r="E11" s="110"/>
      <c r="F11" s="104" t="s">
        <v>187</v>
      </c>
    </row>
    <row r="12" spans="1:6" ht="15" hidden="1">
      <c r="A12" s="105" t="s">
        <v>188</v>
      </c>
      <c r="B12" s="104" t="s">
        <v>189</v>
      </c>
      <c r="E12" s="108" t="e">
        <f>E8/E9</f>
        <v>#DIV/0!</v>
      </c>
      <c r="F12" s="104" t="s">
        <v>187</v>
      </c>
    </row>
    <row r="13" ht="15"/>
    <row r="14" ht="15">
      <c r="A14" s="16" t="s">
        <v>190</v>
      </c>
    </row>
    <row r="15" ht="15"/>
    <row r="16" spans="1:6" ht="15">
      <c r="A16" s="105" t="s">
        <v>191</v>
      </c>
      <c r="B16" s="105" t="s">
        <v>192</v>
      </c>
      <c r="E16" s="109">
        <f>SUM('1.3 Frota Total'!C19:F25)</f>
        <v>14</v>
      </c>
      <c r="F16" s="104" t="s">
        <v>193</v>
      </c>
    </row>
    <row r="17" spans="1:6" ht="15">
      <c r="A17" s="105" t="s">
        <v>194</v>
      </c>
      <c r="B17" s="105" t="s">
        <v>195</v>
      </c>
      <c r="C17" s="111">
        <v>0.8</v>
      </c>
      <c r="D17" s="14" t="s">
        <v>196</v>
      </c>
      <c r="E17" s="109">
        <v>11</v>
      </c>
      <c r="F17" s="104" t="s">
        <v>193</v>
      </c>
    </row>
    <row r="18" spans="1:6" ht="15">
      <c r="A18" s="105" t="s">
        <v>197</v>
      </c>
      <c r="B18" s="105" t="s">
        <v>198</v>
      </c>
      <c r="C18" s="112">
        <v>0.2</v>
      </c>
      <c r="D18" s="14" t="s">
        <v>196</v>
      </c>
      <c r="E18" s="109">
        <v>3</v>
      </c>
      <c r="F18" s="104" t="s">
        <v>193</v>
      </c>
    </row>
    <row r="19" ht="15"/>
    <row r="20" spans="1:6" ht="15">
      <c r="A20" s="105" t="s">
        <v>199</v>
      </c>
      <c r="B20" s="113" t="s">
        <v>200</v>
      </c>
      <c r="E20" s="109">
        <f>E9/E17</f>
        <v>3932.818181818182</v>
      </c>
      <c r="F20" s="104" t="s">
        <v>201</v>
      </c>
    </row>
    <row r="21" ht="15"/>
    <row r="22" ht="15">
      <c r="A22" s="16" t="s">
        <v>202</v>
      </c>
    </row>
    <row r="23" ht="15"/>
    <row r="24" spans="1:6" ht="15">
      <c r="A24" s="105" t="s">
        <v>203</v>
      </c>
      <c r="B24" s="12" t="s">
        <v>204</v>
      </c>
      <c r="E24" s="107">
        <v>28</v>
      </c>
      <c r="F24" s="104" t="s">
        <v>205</v>
      </c>
    </row>
    <row r="25" spans="1:6" ht="15">
      <c r="A25" s="105" t="s">
        <v>206</v>
      </c>
      <c r="B25" s="104" t="s">
        <v>207</v>
      </c>
      <c r="E25" s="109">
        <f>'1.1. Passageiros'!D11/('1.4 Indicadores'!E17*'1.4 Indicadores'!E24)</f>
        <v>0</v>
      </c>
      <c r="F25" s="104" t="s">
        <v>208</v>
      </c>
    </row>
    <row r="26" ht="15"/>
    <row r="27" ht="15" hidden="1">
      <c r="A27" s="16" t="s">
        <v>209</v>
      </c>
    </row>
    <row r="28" ht="15"/>
    <row r="29" spans="1:6" ht="15" hidden="1">
      <c r="A29" s="105" t="s">
        <v>210</v>
      </c>
      <c r="B29" s="104" t="s">
        <v>211</v>
      </c>
      <c r="E29" s="109" t="e">
        <f>E8/E17</f>
        <v>#DIV/0!</v>
      </c>
      <c r="F29" s="104" t="s">
        <v>212</v>
      </c>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c r="A52" s="14"/>
    </row>
    <row r="53" ht="15"/>
    <row r="54" s="12" customFormat="1" ht="15">
      <c r="A54" s="103"/>
    </row>
    <row r="55" s="12" customFormat="1" ht="15">
      <c r="A55" s="103"/>
    </row>
    <row r="56" s="12" customFormat="1" ht="15"/>
    <row r="57" s="12" customFormat="1" ht="15"/>
    <row r="58" s="12" customFormat="1" ht="15"/>
    <row r="59" ht="15">
      <c r="F59" s="12"/>
    </row>
    <row r="60" s="12" customFormat="1" ht="15">
      <c r="A60" s="103"/>
    </row>
    <row r="61" s="12" customFormat="1" ht="15">
      <c r="A61" s="103"/>
    </row>
    <row r="62" ht="15"/>
    <row r="63" ht="15"/>
    <row r="64" ht="15"/>
    <row r="65" ht="15"/>
    <row r="66" ht="15"/>
    <row r="67" ht="15"/>
    <row r="68" ht="15"/>
    <row r="69" ht="15"/>
    <row r="70" ht="15" hidden="1">
      <c r="G70" s="90"/>
    </row>
    <row r="71" ht="15"/>
    <row r="72" ht="15"/>
    <row r="73" ht="15"/>
    <row r="74" ht="15"/>
    <row r="75" ht="15"/>
    <row r="76" ht="15" hidden="1">
      <c r="G76" s="90"/>
    </row>
  </sheetData>
  <sheetProtection selectLockedCells="1" selectUnlockedCells="1"/>
  <mergeCells count="2">
    <mergeCell ref="A1:J1"/>
    <mergeCell ref="J2:M2"/>
  </mergeCells>
  <printOptions/>
  <pageMargins left="0.5118055555555556" right="0.5118055555555556" top="0.7875" bottom="0.78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47"/>
  </sheetPr>
  <dimension ref="A1:K77"/>
  <sheetViews>
    <sheetView workbookViewId="0" topLeftCell="A61">
      <selection activeCell="C73" sqref="C73"/>
    </sheetView>
  </sheetViews>
  <sheetFormatPr defaultColWidth="9.140625" defaultRowHeight="12.75"/>
  <cols>
    <col min="1" max="1" width="6.8515625" style="12" customWidth="1"/>
    <col min="2" max="2" width="36.57421875" style="12" customWidth="1"/>
    <col min="3" max="3" width="27.8515625" style="12" customWidth="1"/>
    <col min="4" max="6" width="30.7109375" style="12" customWidth="1"/>
    <col min="7" max="8" width="11.421875" style="12" customWidth="1"/>
    <col min="9" max="9" width="11.28125" style="12" customWidth="1"/>
    <col min="10" max="10" width="3.28125" style="12" customWidth="1"/>
    <col min="11" max="16384" width="11.421875" style="12" customWidth="1"/>
  </cols>
  <sheetData>
    <row r="1" spans="1:9" ht="15">
      <c r="A1" s="36" t="s">
        <v>213</v>
      </c>
      <c r="B1" s="36"/>
      <c r="C1" s="114" t="s">
        <v>214</v>
      </c>
      <c r="D1" s="36"/>
      <c r="E1" s="36"/>
      <c r="F1" s="36"/>
      <c r="G1" s="36"/>
      <c r="H1" s="36"/>
      <c r="I1" s="36"/>
    </row>
    <row r="2" ht="15">
      <c r="C2" s="115"/>
    </row>
    <row r="3" spans="1:5" ht="15">
      <c r="A3" s="48" t="s">
        <v>215</v>
      </c>
      <c r="B3" s="58" t="s">
        <v>81</v>
      </c>
      <c r="C3" s="58"/>
      <c r="D3" s="58"/>
      <c r="E3" s="58"/>
    </row>
    <row r="4" spans="1:4" ht="15">
      <c r="A4" s="60"/>
      <c r="B4" s="116" t="s">
        <v>216</v>
      </c>
      <c r="C4" s="62"/>
      <c r="D4" s="58" t="s">
        <v>217</v>
      </c>
    </row>
    <row r="5" spans="1:4" ht="15">
      <c r="A5" s="60"/>
      <c r="B5" s="117" t="s">
        <v>41</v>
      </c>
      <c r="C5" s="62" t="s">
        <v>42</v>
      </c>
      <c r="D5" s="58" t="s">
        <v>218</v>
      </c>
    </row>
    <row r="6" ht="15">
      <c r="C6" s="115"/>
    </row>
    <row r="7" spans="1:3" ht="15">
      <c r="A7" s="48" t="s">
        <v>219</v>
      </c>
      <c r="C7" s="115"/>
    </row>
    <row r="8" spans="1:6" ht="15">
      <c r="A8" s="91" t="s">
        <v>150</v>
      </c>
      <c r="B8" s="91"/>
      <c r="C8" s="92" t="s">
        <v>151</v>
      </c>
      <c r="D8" s="92"/>
      <c r="E8" s="92" t="s">
        <v>152</v>
      </c>
      <c r="F8" s="92"/>
    </row>
    <row r="9" spans="1:6" ht="15">
      <c r="A9" s="91"/>
      <c r="B9" s="91"/>
      <c r="C9" s="92" t="s">
        <v>153</v>
      </c>
      <c r="D9" s="92" t="s">
        <v>154</v>
      </c>
      <c r="E9" s="92" t="s">
        <v>153</v>
      </c>
      <c r="F9" s="92" t="s">
        <v>154</v>
      </c>
    </row>
    <row r="10" spans="1:6" ht="15">
      <c r="A10" s="93" t="s">
        <v>122</v>
      </c>
      <c r="B10" s="93"/>
      <c r="C10" s="94"/>
      <c r="D10" s="94"/>
      <c r="E10" s="94"/>
      <c r="F10" s="94"/>
    </row>
    <row r="11" spans="1:6" ht="15">
      <c r="A11" s="93" t="s">
        <v>126</v>
      </c>
      <c r="B11" s="93"/>
      <c r="C11" s="94"/>
      <c r="D11" s="94"/>
      <c r="E11" s="94"/>
      <c r="F11" s="94"/>
    </row>
    <row r="12" spans="1:6" ht="15">
      <c r="A12" s="93" t="s">
        <v>130</v>
      </c>
      <c r="B12" s="93"/>
      <c r="C12" s="94"/>
      <c r="D12" s="94"/>
      <c r="E12" s="94"/>
      <c r="F12" s="94"/>
    </row>
    <row r="13" spans="1:6" ht="15">
      <c r="A13" s="93" t="s">
        <v>134</v>
      </c>
      <c r="B13" s="93"/>
      <c r="C13" s="94"/>
      <c r="D13" s="94"/>
      <c r="E13" s="94"/>
      <c r="F13" s="94"/>
    </row>
    <row r="14" spans="1:6" ht="15">
      <c r="A14" s="93" t="s">
        <v>138</v>
      </c>
      <c r="B14" s="93"/>
      <c r="C14" s="94"/>
      <c r="D14" s="94"/>
      <c r="E14" s="94"/>
      <c r="F14" s="94"/>
    </row>
    <row r="15" spans="1:6" ht="15">
      <c r="A15" s="93" t="s">
        <v>140</v>
      </c>
      <c r="B15" s="93"/>
      <c r="C15" s="94"/>
      <c r="D15" s="94"/>
      <c r="E15" s="94"/>
      <c r="F15" s="94"/>
    </row>
    <row r="16" spans="1:6" ht="15">
      <c r="A16" s="93" t="s">
        <v>144</v>
      </c>
      <c r="B16" s="93"/>
      <c r="C16" s="94"/>
      <c r="D16" s="94"/>
      <c r="E16" s="94"/>
      <c r="F16" s="94"/>
    </row>
    <row r="17" ht="15">
      <c r="C17" s="115"/>
    </row>
    <row r="18" ht="15.75">
      <c r="A18" s="48" t="s">
        <v>220</v>
      </c>
    </row>
    <row r="19" spans="1:11" ht="15.75">
      <c r="A19" s="91" t="s">
        <v>150</v>
      </c>
      <c r="B19" s="91"/>
      <c r="C19" s="92" t="s">
        <v>151</v>
      </c>
      <c r="D19" s="92"/>
      <c r="E19" s="92" t="s">
        <v>152</v>
      </c>
      <c r="F19" s="92"/>
      <c r="H19" s="15" t="s">
        <v>16</v>
      </c>
      <c r="I19" s="15"/>
      <c r="J19" s="15"/>
      <c r="K19" s="15"/>
    </row>
    <row r="20" spans="1:11" ht="15">
      <c r="A20" s="91"/>
      <c r="B20" s="91"/>
      <c r="C20" s="92" t="s">
        <v>153</v>
      </c>
      <c r="D20" s="92" t="s">
        <v>154</v>
      </c>
      <c r="E20" s="92" t="s">
        <v>153</v>
      </c>
      <c r="F20" s="92" t="s">
        <v>154</v>
      </c>
      <c r="H20" s="17"/>
      <c r="I20" s="18"/>
      <c r="J20" s="18"/>
      <c r="K20" s="19"/>
    </row>
    <row r="21" spans="1:11" ht="15" customHeight="1">
      <c r="A21" s="93" t="s">
        <v>122</v>
      </c>
      <c r="B21" s="93"/>
      <c r="C21" s="94"/>
      <c r="D21" s="94"/>
      <c r="E21" s="94"/>
      <c r="F21" s="94"/>
      <c r="H21" s="20"/>
      <c r="I21" s="21"/>
      <c r="J21" s="22" t="s">
        <v>18</v>
      </c>
      <c r="K21" s="23"/>
    </row>
    <row r="22" spans="1:11" ht="15">
      <c r="A22" s="93" t="s">
        <v>126</v>
      </c>
      <c r="B22" s="93"/>
      <c r="C22" s="94"/>
      <c r="D22" s="94"/>
      <c r="E22" s="94"/>
      <c r="F22" s="94"/>
      <c r="H22" s="20"/>
      <c r="I22" s="27"/>
      <c r="J22" s="22" t="s">
        <v>20</v>
      </c>
      <c r="K22" s="23"/>
    </row>
    <row r="23" spans="1:11" ht="15">
      <c r="A23" s="93" t="s">
        <v>130</v>
      </c>
      <c r="B23" s="93"/>
      <c r="C23" s="94"/>
      <c r="D23" s="94"/>
      <c r="E23" s="94"/>
      <c r="F23" s="94"/>
      <c r="H23" s="20"/>
      <c r="I23" s="28"/>
      <c r="J23" s="22" t="s">
        <v>22</v>
      </c>
      <c r="K23" s="23"/>
    </row>
    <row r="24" spans="1:11" ht="15.75">
      <c r="A24" s="93" t="s">
        <v>134</v>
      </c>
      <c r="B24" s="93"/>
      <c r="C24" s="94">
        <f>C35*C46</f>
        <v>1455.1427272727274</v>
      </c>
      <c r="D24" s="94"/>
      <c r="E24" s="94">
        <f>E35*E46</f>
        <v>1769.768181818182</v>
      </c>
      <c r="F24" s="94"/>
      <c r="H24" s="29"/>
      <c r="I24" s="30"/>
      <c r="J24" s="30"/>
      <c r="K24" s="31"/>
    </row>
    <row r="25" spans="1:6" ht="15">
      <c r="A25" s="93" t="s">
        <v>138</v>
      </c>
      <c r="B25" s="93"/>
      <c r="C25" s="94"/>
      <c r="D25" s="94"/>
      <c r="E25" s="94"/>
      <c r="F25" s="94"/>
    </row>
    <row r="26" spans="1:6" ht="15">
      <c r="A26" s="93" t="s">
        <v>140</v>
      </c>
      <c r="B26" s="93"/>
      <c r="C26" s="94"/>
      <c r="D26" s="94"/>
      <c r="E26" s="94"/>
      <c r="F26" s="94"/>
    </row>
    <row r="27" spans="1:6" ht="15">
      <c r="A27" s="93" t="s">
        <v>144</v>
      </c>
      <c r="B27" s="93"/>
      <c r="C27" s="94"/>
      <c r="D27" s="94"/>
      <c r="E27" s="94"/>
      <c r="F27" s="94"/>
    </row>
    <row r="29" ht="15">
      <c r="A29" s="48" t="s">
        <v>221</v>
      </c>
    </row>
    <row r="30" spans="1:6" ht="15">
      <c r="A30" s="91" t="s">
        <v>150</v>
      </c>
      <c r="B30" s="91"/>
      <c r="C30" s="92" t="s">
        <v>151</v>
      </c>
      <c r="D30" s="92"/>
      <c r="E30" s="92" t="s">
        <v>152</v>
      </c>
      <c r="F30" s="92"/>
    </row>
    <row r="31" spans="1:6" ht="15">
      <c r="A31" s="91"/>
      <c r="B31" s="91"/>
      <c r="C31" s="92" t="s">
        <v>153</v>
      </c>
      <c r="D31" s="92" t="s">
        <v>154</v>
      </c>
      <c r="E31" s="92" t="s">
        <v>153</v>
      </c>
      <c r="F31" s="92" t="s">
        <v>154</v>
      </c>
    </row>
    <row r="32" spans="1:6" ht="15" customHeight="1">
      <c r="A32" s="93" t="s">
        <v>122</v>
      </c>
      <c r="B32" s="93"/>
      <c r="C32" s="94"/>
      <c r="D32" s="94"/>
      <c r="E32" s="94"/>
      <c r="F32" s="94"/>
    </row>
    <row r="33" spans="1:6" ht="15">
      <c r="A33" s="93" t="s">
        <v>126</v>
      </c>
      <c r="B33" s="93"/>
      <c r="C33" s="94"/>
      <c r="D33" s="94"/>
      <c r="E33" s="94"/>
      <c r="F33" s="94"/>
    </row>
    <row r="34" spans="1:6" ht="15">
      <c r="A34" s="93" t="s">
        <v>130</v>
      </c>
      <c r="B34" s="93"/>
      <c r="C34" s="94"/>
      <c r="D34" s="94"/>
      <c r="E34" s="94"/>
      <c r="F34" s="94"/>
    </row>
    <row r="35" spans="1:6" ht="15">
      <c r="A35" s="93" t="s">
        <v>134</v>
      </c>
      <c r="B35" s="93"/>
      <c r="C35" s="94">
        <f>'1.4 Indicadores'!E20</f>
        <v>3932.818181818182</v>
      </c>
      <c r="D35" s="94"/>
      <c r="E35" s="94">
        <f>'1.4 Indicadores'!E20</f>
        <v>3932.818181818182</v>
      </c>
      <c r="F35" s="94"/>
    </row>
    <row r="36" spans="1:6" ht="15">
      <c r="A36" s="93" t="s">
        <v>138</v>
      </c>
      <c r="B36" s="93"/>
      <c r="C36" s="94"/>
      <c r="D36" s="94"/>
      <c r="E36" s="94"/>
      <c r="F36" s="94"/>
    </row>
    <row r="37" spans="1:6" ht="15">
      <c r="A37" s="93" t="s">
        <v>140</v>
      </c>
      <c r="B37" s="93"/>
      <c r="C37" s="94"/>
      <c r="D37" s="94"/>
      <c r="E37" s="94"/>
      <c r="F37" s="94"/>
    </row>
    <row r="38" spans="1:6" ht="15">
      <c r="A38" s="93" t="s">
        <v>144</v>
      </c>
      <c r="B38" s="93"/>
      <c r="C38" s="94"/>
      <c r="D38" s="94"/>
      <c r="E38" s="94"/>
      <c r="F38" s="94"/>
    </row>
    <row r="40" ht="15">
      <c r="A40" s="48" t="s">
        <v>222</v>
      </c>
    </row>
    <row r="41" spans="1:6" ht="15">
      <c r="A41" s="118" t="s">
        <v>150</v>
      </c>
      <c r="B41" s="118"/>
      <c r="C41" s="119" t="s">
        <v>151</v>
      </c>
      <c r="D41" s="119"/>
      <c r="E41" s="119" t="s">
        <v>152</v>
      </c>
      <c r="F41" s="119"/>
    </row>
    <row r="42" spans="1:6" ht="15">
      <c r="A42" s="118"/>
      <c r="B42" s="118"/>
      <c r="C42" s="119" t="s">
        <v>153</v>
      </c>
      <c r="D42" s="119" t="s">
        <v>154</v>
      </c>
      <c r="E42" s="119" t="s">
        <v>153</v>
      </c>
      <c r="F42" s="119" t="s">
        <v>154</v>
      </c>
    </row>
    <row r="43" spans="1:6" ht="15" customHeight="1">
      <c r="A43" s="120" t="s">
        <v>122</v>
      </c>
      <c r="B43" s="120"/>
      <c r="C43" s="121">
        <f aca="true" t="shared" si="0" ref="C43:C45">_xlfn.IFERROR(C21/C32,"")</f>
        <v>0</v>
      </c>
      <c r="D43" s="121">
        <f aca="true" t="shared" si="1" ref="D43:D49">_xlfn.IFERROR(D21/D32,"")</f>
        <v>0</v>
      </c>
      <c r="E43" s="121">
        <f aca="true" t="shared" si="2" ref="E43:E45">_xlfn.IFERROR(E21/E32,"")</f>
        <v>0</v>
      </c>
      <c r="F43" s="121">
        <f aca="true" t="shared" si="3" ref="F43:F49">_xlfn.IFERROR(F21/F32,"")</f>
        <v>0</v>
      </c>
    </row>
    <row r="44" spans="1:6" ht="15">
      <c r="A44" s="120" t="s">
        <v>126</v>
      </c>
      <c r="B44" s="120"/>
      <c r="C44" s="121">
        <f t="shared" si="0"/>
        <v>0</v>
      </c>
      <c r="D44" s="121">
        <f t="shared" si="1"/>
        <v>0</v>
      </c>
      <c r="E44" s="121">
        <f t="shared" si="2"/>
        <v>0</v>
      </c>
      <c r="F44" s="121">
        <f t="shared" si="3"/>
        <v>0</v>
      </c>
    </row>
    <row r="45" spans="1:6" ht="15">
      <c r="A45" s="120" t="s">
        <v>130</v>
      </c>
      <c r="B45" s="120"/>
      <c r="C45" s="121">
        <f t="shared" si="0"/>
        <v>0</v>
      </c>
      <c r="D45" s="121">
        <f t="shared" si="1"/>
        <v>0</v>
      </c>
      <c r="E45" s="121">
        <f t="shared" si="2"/>
        <v>0</v>
      </c>
      <c r="F45" s="121">
        <f t="shared" si="3"/>
        <v>0</v>
      </c>
    </row>
    <row r="46" spans="1:6" ht="15">
      <c r="A46" s="120" t="s">
        <v>134</v>
      </c>
      <c r="B46" s="120"/>
      <c r="C46" s="121">
        <v>0.37</v>
      </c>
      <c r="D46" s="121">
        <f t="shared" si="1"/>
        <v>0</v>
      </c>
      <c r="E46" s="121">
        <v>0.45</v>
      </c>
      <c r="F46" s="121">
        <f t="shared" si="3"/>
        <v>0</v>
      </c>
    </row>
    <row r="47" spans="1:6" ht="15">
      <c r="A47" s="120" t="s">
        <v>138</v>
      </c>
      <c r="B47" s="120"/>
      <c r="C47" s="121">
        <f aca="true" t="shared" si="4" ref="C47:C49">_xlfn.IFERROR(C25/C36,"")</f>
        <v>0</v>
      </c>
      <c r="D47" s="121">
        <f t="shared" si="1"/>
        <v>0</v>
      </c>
      <c r="E47" s="121">
        <f aca="true" t="shared" si="5" ref="E47:E49">_xlfn.IFERROR(E25/E36,"")</f>
        <v>0</v>
      </c>
      <c r="F47" s="121">
        <f t="shared" si="3"/>
        <v>0</v>
      </c>
    </row>
    <row r="48" spans="1:6" ht="15">
      <c r="A48" s="120" t="s">
        <v>140</v>
      </c>
      <c r="B48" s="120"/>
      <c r="C48" s="121">
        <f t="shared" si="4"/>
        <v>0</v>
      </c>
      <c r="D48" s="121">
        <f t="shared" si="1"/>
        <v>0</v>
      </c>
      <c r="E48" s="121">
        <f t="shared" si="5"/>
        <v>0</v>
      </c>
      <c r="F48" s="121">
        <f t="shared" si="3"/>
        <v>0</v>
      </c>
    </row>
    <row r="49" spans="1:6" ht="15">
      <c r="A49" s="120" t="s">
        <v>144</v>
      </c>
      <c r="B49" s="120"/>
      <c r="C49" s="121">
        <f t="shared" si="4"/>
        <v>0</v>
      </c>
      <c r="D49" s="121">
        <f t="shared" si="1"/>
        <v>0</v>
      </c>
      <c r="E49" s="121">
        <f t="shared" si="5"/>
        <v>0</v>
      </c>
      <c r="F49" s="121">
        <f t="shared" si="3"/>
        <v>0</v>
      </c>
    </row>
    <row r="51" spans="1:5" ht="15">
      <c r="A51" s="122" t="s">
        <v>223</v>
      </c>
      <c r="B51" s="123" t="s">
        <v>224</v>
      </c>
      <c r="E51" s="124" t="s">
        <v>225</v>
      </c>
    </row>
    <row r="52" spans="1:6" ht="15">
      <c r="A52" s="91" t="s">
        <v>150</v>
      </c>
      <c r="B52" s="91"/>
      <c r="C52" s="92" t="s">
        <v>151</v>
      </c>
      <c r="D52" s="92"/>
      <c r="E52" s="92" t="s">
        <v>152</v>
      </c>
      <c r="F52" s="92"/>
    </row>
    <row r="53" spans="1:6" ht="15">
      <c r="A53" s="91"/>
      <c r="B53" s="91"/>
      <c r="C53" s="92" t="s">
        <v>153</v>
      </c>
      <c r="D53" s="92" t="s">
        <v>154</v>
      </c>
      <c r="E53" s="92" t="s">
        <v>153</v>
      </c>
      <c r="F53" s="92" t="s">
        <v>154</v>
      </c>
    </row>
    <row r="54" spans="1:6" ht="15">
      <c r="A54" s="93" t="s">
        <v>122</v>
      </c>
      <c r="B54" s="93"/>
      <c r="C54" s="94"/>
      <c r="D54" s="94"/>
      <c r="E54" s="94"/>
      <c r="F54" s="94"/>
    </row>
    <row r="55" spans="1:6" ht="15">
      <c r="A55" s="93" t="s">
        <v>126</v>
      </c>
      <c r="B55" s="93"/>
      <c r="C55" s="94"/>
      <c r="D55" s="94"/>
      <c r="E55" s="94"/>
      <c r="F55" s="94"/>
    </row>
    <row r="56" spans="1:6" ht="15">
      <c r="A56" s="93" t="s">
        <v>130</v>
      </c>
      <c r="B56" s="93"/>
      <c r="C56" s="94"/>
      <c r="D56" s="94"/>
      <c r="E56" s="94"/>
      <c r="F56" s="94"/>
    </row>
    <row r="57" spans="1:6" ht="15">
      <c r="A57" s="93" t="s">
        <v>134</v>
      </c>
      <c r="B57" s="93"/>
      <c r="C57" s="94">
        <f>C35*9</f>
        <v>35395.36363636364</v>
      </c>
      <c r="D57" s="94"/>
      <c r="E57" s="94">
        <f>E35*2</f>
        <v>7865.636363636364</v>
      </c>
      <c r="F57" s="94"/>
    </row>
    <row r="58" spans="1:6" ht="15">
      <c r="A58" s="93" t="s">
        <v>138</v>
      </c>
      <c r="B58" s="93"/>
      <c r="C58" s="94"/>
      <c r="D58" s="94"/>
      <c r="E58" s="94"/>
      <c r="F58" s="94"/>
    </row>
    <row r="59" spans="1:6" ht="15">
      <c r="A59" s="93" t="s">
        <v>140</v>
      </c>
      <c r="B59" s="93"/>
      <c r="C59" s="94"/>
      <c r="D59" s="94"/>
      <c r="E59" s="94"/>
      <c r="F59" s="94"/>
    </row>
    <row r="60" spans="1:6" ht="15">
      <c r="A60" s="93" t="s">
        <v>144</v>
      </c>
      <c r="B60" s="93"/>
      <c r="C60" s="94"/>
      <c r="D60" s="94"/>
      <c r="E60" s="94"/>
      <c r="F60" s="94"/>
    </row>
    <row r="62" ht="15">
      <c r="A62" s="48" t="s">
        <v>226</v>
      </c>
    </row>
    <row r="63" spans="1:6" ht="15">
      <c r="A63" s="118" t="s">
        <v>150</v>
      </c>
      <c r="B63" s="118"/>
      <c r="C63" s="119" t="s">
        <v>151</v>
      </c>
      <c r="D63" s="119"/>
      <c r="E63" s="119" t="s">
        <v>152</v>
      </c>
      <c r="F63" s="119"/>
    </row>
    <row r="64" spans="1:6" ht="15">
      <c r="A64" s="118"/>
      <c r="B64" s="118"/>
      <c r="C64" s="119" t="s">
        <v>153</v>
      </c>
      <c r="D64" s="119" t="s">
        <v>154</v>
      </c>
      <c r="E64" s="119" t="s">
        <v>153</v>
      </c>
      <c r="F64" s="119" t="s">
        <v>154</v>
      </c>
    </row>
    <row r="65" spans="1:6" ht="15" customHeight="1">
      <c r="A65" s="120" t="s">
        <v>122</v>
      </c>
      <c r="B65" s="120"/>
      <c r="C65" s="125">
        <f aca="true" t="shared" si="6" ref="C65:C71">_xlfn.IFERROR(IF($C$4&lt;&gt;0,C10*C54,C43*C54),"")</f>
        <v>0</v>
      </c>
      <c r="D65" s="125">
        <f aca="true" t="shared" si="7" ref="D65:D71">_xlfn.IFERROR(IF($C$4&lt;&gt;0,D10*D54,D43*D54),"")</f>
        <v>0</v>
      </c>
      <c r="E65" s="125">
        <f aca="true" t="shared" si="8" ref="E65:E71">_xlfn.IFERROR(IF($C$4&lt;&gt;0,E10*E54,E43*E54),"")</f>
        <v>0</v>
      </c>
      <c r="F65" s="125">
        <f aca="true" t="shared" si="9" ref="F65:F71">_xlfn.IFERROR(IF($C$4&lt;&gt;0,F10*F54,F43*F54),"")</f>
        <v>0</v>
      </c>
    </row>
    <row r="66" spans="1:6" ht="15">
      <c r="A66" s="120" t="s">
        <v>126</v>
      </c>
      <c r="B66" s="120"/>
      <c r="C66" s="125">
        <f t="shared" si="6"/>
        <v>0</v>
      </c>
      <c r="D66" s="125">
        <f t="shared" si="7"/>
        <v>0</v>
      </c>
      <c r="E66" s="125">
        <f t="shared" si="8"/>
        <v>0</v>
      </c>
      <c r="F66" s="125">
        <f t="shared" si="9"/>
        <v>0</v>
      </c>
    </row>
    <row r="67" spans="1:6" ht="15">
      <c r="A67" s="120" t="s">
        <v>130</v>
      </c>
      <c r="B67" s="120"/>
      <c r="C67" s="125">
        <f t="shared" si="6"/>
        <v>0</v>
      </c>
      <c r="D67" s="125">
        <f t="shared" si="7"/>
        <v>0</v>
      </c>
      <c r="E67" s="125">
        <f t="shared" si="8"/>
        <v>0</v>
      </c>
      <c r="F67" s="125">
        <f t="shared" si="9"/>
        <v>0</v>
      </c>
    </row>
    <row r="68" spans="1:6" ht="15">
      <c r="A68" s="120" t="s">
        <v>134</v>
      </c>
      <c r="B68" s="120"/>
      <c r="C68" s="126">
        <f t="shared" si="6"/>
        <v>13096.284545454546</v>
      </c>
      <c r="D68" s="126">
        <f t="shared" si="7"/>
        <v>0</v>
      </c>
      <c r="E68" s="126">
        <f t="shared" si="8"/>
        <v>3539.536363636364</v>
      </c>
      <c r="F68" s="125">
        <f t="shared" si="9"/>
        <v>0</v>
      </c>
    </row>
    <row r="69" spans="1:6" ht="15">
      <c r="A69" s="120" t="s">
        <v>138</v>
      </c>
      <c r="B69" s="120"/>
      <c r="C69" s="125">
        <f t="shared" si="6"/>
        <v>0</v>
      </c>
      <c r="D69" s="125">
        <f t="shared" si="7"/>
        <v>0</v>
      </c>
      <c r="E69" s="125">
        <f t="shared" si="8"/>
        <v>0</v>
      </c>
      <c r="F69" s="125">
        <f t="shared" si="9"/>
        <v>0</v>
      </c>
    </row>
    <row r="70" spans="1:6" ht="15">
      <c r="A70" s="120" t="s">
        <v>140</v>
      </c>
      <c r="B70" s="120"/>
      <c r="C70" s="125">
        <f t="shared" si="6"/>
        <v>0</v>
      </c>
      <c r="D70" s="125">
        <f t="shared" si="7"/>
        <v>0</v>
      </c>
      <c r="E70" s="125">
        <f t="shared" si="8"/>
        <v>0</v>
      </c>
      <c r="F70" s="125">
        <f t="shared" si="9"/>
        <v>0</v>
      </c>
    </row>
    <row r="71" spans="1:6" ht="15">
      <c r="A71" s="120" t="s">
        <v>144</v>
      </c>
      <c r="B71" s="120"/>
      <c r="C71" s="125">
        <f t="shared" si="6"/>
        <v>0</v>
      </c>
      <c r="D71" s="125">
        <f t="shared" si="7"/>
        <v>0</v>
      </c>
      <c r="E71" s="125">
        <f t="shared" si="8"/>
        <v>0</v>
      </c>
      <c r="F71" s="125">
        <f t="shared" si="9"/>
        <v>0</v>
      </c>
    </row>
    <row r="73" spans="1:4" ht="21">
      <c r="A73" s="102"/>
      <c r="B73" s="127" t="s">
        <v>227</v>
      </c>
      <c r="C73" s="128">
        <f>SUM(C65:F71)</f>
        <v>16635.82090909091</v>
      </c>
      <c r="D73" s="129" t="s">
        <v>228</v>
      </c>
    </row>
    <row r="74" ht="15">
      <c r="E74" s="130"/>
    </row>
    <row r="77" ht="15">
      <c r="D77" s="131"/>
    </row>
  </sheetData>
  <sheetProtection selectLockedCells="1" selectUnlockedCells="1"/>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pageMargins left="0.7875" right="0.7875" top="0.9840277777777778" bottom="0.9840277777777778"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47"/>
  </sheetPr>
  <dimension ref="A1:IV58"/>
  <sheetViews>
    <sheetView workbookViewId="0" topLeftCell="A43">
      <selection activeCell="C63" sqref="C63"/>
    </sheetView>
  </sheetViews>
  <sheetFormatPr defaultColWidth="9.140625" defaultRowHeight="12.75"/>
  <cols>
    <col min="1" max="1" width="7.28125" style="12" customWidth="1"/>
    <col min="2" max="2" width="38.140625" style="12" customWidth="1"/>
    <col min="3" max="3" width="10.00390625" style="12" customWidth="1"/>
    <col min="4" max="4" width="35.00390625" style="12" customWidth="1"/>
    <col min="5" max="7" width="30.7109375" style="12" customWidth="1"/>
    <col min="8" max="8" width="5.140625" style="12" customWidth="1"/>
    <col min="9" max="16384" width="11.57421875" style="12" hidden="1" customWidth="1"/>
  </cols>
  <sheetData>
    <row r="1" spans="1:2" ht="15">
      <c r="A1" s="36" t="s">
        <v>229</v>
      </c>
      <c r="B1" s="36"/>
    </row>
    <row r="3" spans="1:2" ht="15">
      <c r="A3" s="48" t="s">
        <v>230</v>
      </c>
      <c r="B3" s="48" t="s">
        <v>231</v>
      </c>
    </row>
    <row r="4" spans="1:7" ht="15">
      <c r="A4" s="92" t="s">
        <v>150</v>
      </c>
      <c r="B4" s="92"/>
      <c r="C4" s="92"/>
      <c r="D4" s="92" t="s">
        <v>151</v>
      </c>
      <c r="E4" s="92"/>
      <c r="F4" s="92" t="s">
        <v>152</v>
      </c>
      <c r="G4" s="92"/>
    </row>
    <row r="5" spans="1:7" ht="15">
      <c r="A5" s="92"/>
      <c r="B5" s="92"/>
      <c r="C5" s="92"/>
      <c r="D5" s="92" t="s">
        <v>153</v>
      </c>
      <c r="E5" s="92" t="s">
        <v>154</v>
      </c>
      <c r="F5" s="92" t="s">
        <v>153</v>
      </c>
      <c r="G5" s="92" t="s">
        <v>154</v>
      </c>
    </row>
    <row r="6" spans="1:7" ht="15" customHeight="1">
      <c r="A6" s="101" t="s">
        <v>122</v>
      </c>
      <c r="B6" s="101"/>
      <c r="C6" s="101"/>
      <c r="D6" s="132"/>
      <c r="E6" s="132"/>
      <c r="F6" s="132"/>
      <c r="G6" s="132"/>
    </row>
    <row r="7" spans="1:7" ht="15">
      <c r="A7" s="101" t="s">
        <v>126</v>
      </c>
      <c r="B7" s="101"/>
      <c r="C7" s="101"/>
      <c r="D7" s="132"/>
      <c r="E7" s="132"/>
      <c r="F7" s="132"/>
      <c r="G7" s="132"/>
    </row>
    <row r="8" spans="1:7" ht="15">
      <c r="A8" s="101" t="s">
        <v>130</v>
      </c>
      <c r="B8" s="101"/>
      <c r="C8" s="101"/>
      <c r="D8" s="132"/>
      <c r="E8" s="132"/>
      <c r="F8" s="132"/>
      <c r="G8" s="132"/>
    </row>
    <row r="9" spans="1:7" ht="15">
      <c r="A9" s="101" t="s">
        <v>134</v>
      </c>
      <c r="B9" s="101"/>
      <c r="C9" s="101"/>
      <c r="D9" s="132">
        <v>645000</v>
      </c>
      <c r="E9" s="132"/>
      <c r="F9" s="132">
        <v>745760</v>
      </c>
      <c r="G9" s="132"/>
    </row>
    <row r="10" spans="1:7" ht="15">
      <c r="A10" s="101" t="s">
        <v>138</v>
      </c>
      <c r="B10" s="101"/>
      <c r="C10" s="101"/>
      <c r="D10" s="132"/>
      <c r="E10" s="132"/>
      <c r="F10" s="132"/>
      <c r="G10" s="132"/>
    </row>
    <row r="11" spans="1:7" ht="15">
      <c r="A11" s="101" t="s">
        <v>140</v>
      </c>
      <c r="B11" s="101"/>
      <c r="C11" s="101"/>
      <c r="D11" s="132"/>
      <c r="E11" s="132"/>
      <c r="F11" s="132"/>
      <c r="G11" s="132"/>
    </row>
    <row r="12" spans="1:7" ht="15">
      <c r="A12" s="101" t="s">
        <v>144</v>
      </c>
      <c r="B12" s="101"/>
      <c r="C12" s="101"/>
      <c r="D12" s="132"/>
      <c r="E12" s="132"/>
      <c r="F12" s="132"/>
      <c r="G12" s="132"/>
    </row>
    <row r="13" spans="1:2" ht="15">
      <c r="A13" s="48"/>
      <c r="B13" s="48"/>
    </row>
    <row r="14" spans="1:2" ht="15">
      <c r="A14" s="102" t="s">
        <v>232</v>
      </c>
      <c r="B14" s="48" t="s">
        <v>233</v>
      </c>
    </row>
    <row r="15" spans="1:4" ht="15">
      <c r="A15" s="92" t="s">
        <v>162</v>
      </c>
      <c r="B15" s="92"/>
      <c r="C15" s="92"/>
      <c r="D15" s="92" t="s">
        <v>234</v>
      </c>
    </row>
    <row r="16" spans="1:4" ht="15">
      <c r="A16" s="92"/>
      <c r="B16" s="92"/>
      <c r="C16" s="92"/>
      <c r="D16" s="92"/>
    </row>
    <row r="17" spans="1:4" ht="15">
      <c r="A17" s="101" t="s">
        <v>164</v>
      </c>
      <c r="B17" s="101"/>
      <c r="C17" s="101"/>
      <c r="D17" s="133"/>
    </row>
    <row r="18" spans="1:4" ht="15">
      <c r="A18" s="101" t="s">
        <v>165</v>
      </c>
      <c r="B18" s="101"/>
      <c r="C18" s="101"/>
      <c r="D18" s="133"/>
    </row>
    <row r="19" spans="1:4" ht="15">
      <c r="A19" s="101" t="s">
        <v>166</v>
      </c>
      <c r="B19" s="101"/>
      <c r="C19" s="101"/>
      <c r="D19" s="133">
        <v>35000</v>
      </c>
    </row>
    <row r="20" spans="1:4" ht="15">
      <c r="A20" s="101" t="s">
        <v>167</v>
      </c>
      <c r="B20" s="101"/>
      <c r="C20" s="101"/>
      <c r="D20" s="133">
        <v>35000</v>
      </c>
    </row>
    <row r="21" spans="1:4" ht="15">
      <c r="A21" s="101" t="s">
        <v>168</v>
      </c>
      <c r="B21" s="101"/>
      <c r="C21" s="101"/>
      <c r="D21" s="133"/>
    </row>
    <row r="22" spans="1:2" ht="15">
      <c r="A22" s="48"/>
      <c r="B22" s="48"/>
    </row>
    <row r="23" spans="1:2" ht="15">
      <c r="A23" s="48" t="s">
        <v>235</v>
      </c>
      <c r="B23" s="48" t="s">
        <v>236</v>
      </c>
    </row>
    <row r="24" spans="1:7" ht="15">
      <c r="A24" s="119" t="s">
        <v>150</v>
      </c>
      <c r="B24" s="119"/>
      <c r="C24" s="119"/>
      <c r="D24" s="119" t="s">
        <v>151</v>
      </c>
      <c r="E24" s="119"/>
      <c r="F24" s="119" t="s">
        <v>152</v>
      </c>
      <c r="G24" s="119"/>
    </row>
    <row r="25" spans="1:7" ht="15">
      <c r="A25" s="119"/>
      <c r="B25" s="119"/>
      <c r="C25" s="119"/>
      <c r="D25" s="119" t="s">
        <v>153</v>
      </c>
      <c r="E25" s="119" t="s">
        <v>154</v>
      </c>
      <c r="F25" s="119" t="s">
        <v>153</v>
      </c>
      <c r="G25" s="119" t="s">
        <v>154</v>
      </c>
    </row>
    <row r="26" spans="1:7" ht="15" customHeight="1">
      <c r="A26" s="134" t="s">
        <v>122</v>
      </c>
      <c r="B26" s="134"/>
      <c r="C26" s="134"/>
      <c r="D26" s="126">
        <f>D6*'1.3 Frota Total'!C19</f>
        <v>0</v>
      </c>
      <c r="E26" s="126">
        <f>E6*'1.3 Frota Total'!D19</f>
        <v>0</v>
      </c>
      <c r="F26" s="126">
        <f>F6*'1.3 Frota Total'!E19</f>
        <v>0</v>
      </c>
      <c r="G26" s="126">
        <f>G6*'1.3 Frota Total'!F19</f>
        <v>0</v>
      </c>
    </row>
    <row r="27" spans="1:7" ht="15">
      <c r="A27" s="134" t="s">
        <v>126</v>
      </c>
      <c r="B27" s="134"/>
      <c r="C27" s="134"/>
      <c r="D27" s="126">
        <f>D7*'1.3 Frota Total'!C20</f>
        <v>0</v>
      </c>
      <c r="E27" s="126">
        <f>E7*'1.3 Frota Total'!D20</f>
        <v>0</v>
      </c>
      <c r="F27" s="126">
        <f>F7*'1.3 Frota Total'!E20</f>
        <v>0</v>
      </c>
      <c r="G27" s="126">
        <f>G7*'1.3 Frota Total'!F20</f>
        <v>0</v>
      </c>
    </row>
    <row r="28" spans="1:7" ht="15">
      <c r="A28" s="134" t="s">
        <v>130</v>
      </c>
      <c r="B28" s="134"/>
      <c r="C28" s="134"/>
      <c r="D28" s="126">
        <f>D8*'1.3 Frota Total'!C21</f>
        <v>0</v>
      </c>
      <c r="E28" s="126">
        <f>E8*'1.3 Frota Total'!D21</f>
        <v>0</v>
      </c>
      <c r="F28" s="126">
        <f>F8*'1.3 Frota Total'!E21</f>
        <v>0</v>
      </c>
      <c r="G28" s="126">
        <f>G8*'1.3 Frota Total'!F21</f>
        <v>0</v>
      </c>
    </row>
    <row r="29" spans="1:7" ht="15">
      <c r="A29" s="134" t="s">
        <v>134</v>
      </c>
      <c r="B29" s="134"/>
      <c r="C29" s="134"/>
      <c r="D29" s="126">
        <f>D9*D40</f>
        <v>7740000</v>
      </c>
      <c r="E29" s="126">
        <f>E9*'1.3 Frota Total'!D22</f>
        <v>0</v>
      </c>
      <c r="F29" s="126">
        <f>F9*F40</f>
        <v>1491520</v>
      </c>
      <c r="G29" s="126">
        <f>G9*'1.3 Frota Total'!F22</f>
        <v>0</v>
      </c>
    </row>
    <row r="30" spans="1:7" ht="15">
      <c r="A30" s="134" t="s">
        <v>138</v>
      </c>
      <c r="B30" s="134"/>
      <c r="C30" s="134"/>
      <c r="D30" s="126">
        <f>D10*'1.3 Frota Total'!C23</f>
        <v>0</v>
      </c>
      <c r="E30" s="126">
        <f>E10*'1.3 Frota Total'!D23</f>
        <v>0</v>
      </c>
      <c r="F30" s="126">
        <f>F10*'1.3 Frota Total'!E23</f>
        <v>0</v>
      </c>
      <c r="G30" s="126">
        <f>G10*'1.3 Frota Total'!F23</f>
        <v>0</v>
      </c>
    </row>
    <row r="31" spans="1:7" ht="15">
      <c r="A31" s="134" t="s">
        <v>140</v>
      </c>
      <c r="B31" s="134"/>
      <c r="C31" s="134"/>
      <c r="D31" s="126">
        <f>D11*'1.3 Frota Total'!C24</f>
        <v>0</v>
      </c>
      <c r="E31" s="126">
        <f>E11*'1.3 Frota Total'!D24</f>
        <v>0</v>
      </c>
      <c r="F31" s="126">
        <f>F11*'1.3 Frota Total'!E24</f>
        <v>0</v>
      </c>
      <c r="G31" s="126">
        <f>G11*'1.3 Frota Total'!F24</f>
        <v>0</v>
      </c>
    </row>
    <row r="32" spans="1:7" ht="15">
      <c r="A32" s="134" t="s">
        <v>144</v>
      </c>
      <c r="B32" s="134"/>
      <c r="C32" s="134"/>
      <c r="D32" s="126">
        <f>D12*'1.3 Frota Total'!C25</f>
        <v>0</v>
      </c>
      <c r="E32" s="126">
        <f>E12*'1.3 Frota Total'!D25</f>
        <v>0</v>
      </c>
      <c r="F32" s="126">
        <f>F12*'1.3 Frota Total'!E25</f>
        <v>0</v>
      </c>
      <c r="G32" s="126">
        <f>G12*'1.3 Frota Total'!F25</f>
        <v>0</v>
      </c>
    </row>
    <row r="34" spans="1:2" ht="15">
      <c r="A34" s="48" t="s">
        <v>237</v>
      </c>
      <c r="B34" s="48" t="s">
        <v>238</v>
      </c>
    </row>
    <row r="35" spans="1:7" ht="15">
      <c r="A35" s="119" t="s">
        <v>150</v>
      </c>
      <c r="B35" s="119"/>
      <c r="C35" s="119"/>
      <c r="D35" s="119" t="s">
        <v>151</v>
      </c>
      <c r="E35" s="119"/>
      <c r="F35" s="119" t="s">
        <v>152</v>
      </c>
      <c r="G35" s="119"/>
    </row>
    <row r="36" spans="1:7" ht="15">
      <c r="A36" s="119"/>
      <c r="B36" s="119"/>
      <c r="C36" s="119"/>
      <c r="D36" s="119" t="s">
        <v>153</v>
      </c>
      <c r="E36" s="119" t="s">
        <v>154</v>
      </c>
      <c r="F36" s="119" t="s">
        <v>153</v>
      </c>
      <c r="G36" s="119" t="s">
        <v>154</v>
      </c>
    </row>
    <row r="37" spans="1:7" ht="15" customHeight="1">
      <c r="A37" s="134" t="s">
        <v>122</v>
      </c>
      <c r="B37" s="134"/>
      <c r="C37" s="134"/>
      <c r="D37" s="126">
        <f>IF(D26&lt;&gt;0,'1.3 Frota Total'!C19,"")</f>
        <v>0</v>
      </c>
      <c r="E37" s="126">
        <f>IF(E26&lt;&gt;0,'1.3 Frota Total'!D19,"")</f>
        <v>0</v>
      </c>
      <c r="F37" s="126">
        <f>IF(F26&lt;&gt;0,'1.3 Frota Total'!E19,"")</f>
        <v>0</v>
      </c>
      <c r="G37" s="126">
        <f>IF(G26&lt;&gt;0,'1.3 Frota Total'!F19,"")</f>
        <v>0</v>
      </c>
    </row>
    <row r="38" spans="1:7" ht="15">
      <c r="A38" s="134" t="s">
        <v>126</v>
      </c>
      <c r="B38" s="134"/>
      <c r="C38" s="134"/>
      <c r="D38" s="126">
        <f>IF(D27&lt;&gt;0,'1.3 Frota Total'!C20,"")</f>
        <v>0</v>
      </c>
      <c r="E38" s="126">
        <f>IF(E27&lt;&gt;0,'1.3 Frota Total'!D20,"")</f>
        <v>0</v>
      </c>
      <c r="F38" s="126">
        <f>IF(F27&lt;&gt;0,'1.3 Frota Total'!E20,"")</f>
        <v>0</v>
      </c>
      <c r="G38" s="126">
        <f>IF(G27&lt;&gt;0,'1.3 Frota Total'!F20,"")</f>
        <v>0</v>
      </c>
    </row>
    <row r="39" spans="1:7" ht="15">
      <c r="A39" s="134" t="s">
        <v>130</v>
      </c>
      <c r="B39" s="134"/>
      <c r="C39" s="134"/>
      <c r="D39" s="126">
        <f>IF(D28&lt;&gt;0,'1.3 Frota Total'!C21,"")</f>
        <v>0</v>
      </c>
      <c r="E39" s="126">
        <f>IF(E28&lt;&gt;0,'1.3 Frota Total'!D21,"")</f>
        <v>0</v>
      </c>
      <c r="F39" s="126">
        <f>IF(F28&lt;&gt;0,'1.3 Frota Total'!E21,"")</f>
        <v>0</v>
      </c>
      <c r="G39" s="126">
        <f>IF(G28&lt;&gt;0,'1.3 Frota Total'!F21,"")</f>
        <v>0</v>
      </c>
    </row>
    <row r="40" spans="1:7" ht="15">
      <c r="A40" s="134" t="s">
        <v>134</v>
      </c>
      <c r="B40" s="134"/>
      <c r="C40" s="134"/>
      <c r="D40" s="126">
        <v>12</v>
      </c>
      <c r="E40" s="126">
        <f>IF(E29&lt;&gt;0,'1.3 Frota Total'!D22,"")</f>
        <v>0</v>
      </c>
      <c r="F40" s="126">
        <v>2</v>
      </c>
      <c r="G40" s="126">
        <f>IF(G29&lt;&gt;0,'1.3 Frota Total'!F22,"")</f>
        <v>0</v>
      </c>
    </row>
    <row r="41" spans="1:7" ht="15">
      <c r="A41" s="134" t="s">
        <v>138</v>
      </c>
      <c r="B41" s="134"/>
      <c r="C41" s="134"/>
      <c r="D41" s="126">
        <f>IF(D30&lt;&gt;0,'1.3 Frota Total'!C23,"")</f>
        <v>0</v>
      </c>
      <c r="E41" s="126">
        <f>IF(E30&lt;&gt;0,'1.3 Frota Total'!D23,"")</f>
        <v>0</v>
      </c>
      <c r="F41" s="126">
        <f>IF(F30&lt;&gt;0,'1.3 Frota Total'!E23,"")</f>
        <v>0</v>
      </c>
      <c r="G41" s="126">
        <f>IF(G30&lt;&gt;0,'1.3 Frota Total'!F23,"")</f>
        <v>0</v>
      </c>
    </row>
    <row r="42" spans="1:7" ht="15">
      <c r="A42" s="134" t="s">
        <v>140</v>
      </c>
      <c r="B42" s="134"/>
      <c r="C42" s="134"/>
      <c r="D42" s="126">
        <f>IF(D31&lt;&gt;0,'1.3 Frota Total'!C24,"")</f>
        <v>0</v>
      </c>
      <c r="E42" s="126">
        <f>IF(E31&lt;&gt;0,'1.3 Frota Total'!D24,"")</f>
        <v>0</v>
      </c>
      <c r="F42" s="126">
        <f>IF(F31&lt;&gt;0,'1.3 Frota Total'!E24,"")</f>
        <v>0</v>
      </c>
      <c r="G42" s="126">
        <f>IF(G31&lt;&gt;0,'1.3 Frota Total'!F24,"")</f>
        <v>0</v>
      </c>
    </row>
    <row r="43" spans="1:7" ht="15">
      <c r="A43" s="134" t="s">
        <v>144</v>
      </c>
      <c r="B43" s="134"/>
      <c r="C43" s="134"/>
      <c r="D43" s="126">
        <f>IF(D32&lt;&gt;0,'1.3 Frota Total'!C25,"")</f>
        <v>0</v>
      </c>
      <c r="E43" s="126">
        <f>IF(E32&lt;&gt;0,'1.3 Frota Total'!D25,"")</f>
        <v>0</v>
      </c>
      <c r="F43" s="126">
        <f>IF(F32&lt;&gt;0,'1.3 Frota Total'!E25,"")</f>
        <v>0</v>
      </c>
      <c r="G43" s="126">
        <f>IF(G32&lt;&gt;0,'1.3 Frota Total'!F25,"")</f>
        <v>0</v>
      </c>
    </row>
    <row r="44" spans="1:256"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 ht="15">
      <c r="A45" s="48" t="s">
        <v>239</v>
      </c>
      <c r="B45" s="48" t="s">
        <v>240</v>
      </c>
    </row>
    <row r="46" spans="1:7" ht="15">
      <c r="A46" s="119" t="s">
        <v>150</v>
      </c>
      <c r="B46" s="119"/>
      <c r="C46" s="119"/>
      <c r="D46" s="119" t="s">
        <v>151</v>
      </c>
      <c r="E46" s="119"/>
      <c r="F46" s="119" t="s">
        <v>152</v>
      </c>
      <c r="G46" s="119"/>
    </row>
    <row r="47" spans="1:7" ht="15">
      <c r="A47" s="119"/>
      <c r="B47" s="119"/>
      <c r="C47" s="119"/>
      <c r="D47" s="119" t="s">
        <v>153</v>
      </c>
      <c r="E47" s="119" t="s">
        <v>154</v>
      </c>
      <c r="F47" s="119" t="s">
        <v>153</v>
      </c>
      <c r="G47" s="119" t="s">
        <v>154</v>
      </c>
    </row>
    <row r="48" spans="1:7" ht="15" customHeight="1">
      <c r="A48" s="134" t="s">
        <v>122</v>
      </c>
      <c r="B48" s="134"/>
      <c r="C48" s="134"/>
      <c r="D48" s="135">
        <f>IF(D6&gt;0,D6-('A.VI. Rodagem'!$D43),"")</f>
        <v>0</v>
      </c>
      <c r="E48" s="135">
        <f>IF(E6&gt;0,E6-('A.VI. Rodagem'!$D43),"")</f>
        <v>0</v>
      </c>
      <c r="F48" s="135">
        <f>IF(F6&gt;0,F6-('A.VI. Rodagem'!$D43),"")</f>
        <v>0</v>
      </c>
      <c r="G48" s="135">
        <f>IF(G6&gt;0,G6-('A.VI. Rodagem'!$D43),"")</f>
        <v>0</v>
      </c>
    </row>
    <row r="49" spans="1:7" ht="15">
      <c r="A49" s="134" t="s">
        <v>126</v>
      </c>
      <c r="B49" s="134"/>
      <c r="C49" s="134"/>
      <c r="D49" s="135">
        <f>IF(D7&gt;0,D7-('A.VI. Rodagem'!$D44),"")</f>
        <v>0</v>
      </c>
      <c r="E49" s="135">
        <f>IF(E7&gt;0,E7-('A.VI. Rodagem'!$D44),"")</f>
        <v>0</v>
      </c>
      <c r="F49" s="135">
        <f>IF(F7&gt;0,F7-('A.VI. Rodagem'!$D44),"")</f>
        <v>0</v>
      </c>
      <c r="G49" s="135">
        <f>IF(G7&gt;0,G7-('A.VI. Rodagem'!$D44),"")</f>
        <v>0</v>
      </c>
    </row>
    <row r="50" spans="1:7" ht="15">
      <c r="A50" s="134" t="s">
        <v>130</v>
      </c>
      <c r="B50" s="134"/>
      <c r="C50" s="134"/>
      <c r="D50" s="135">
        <f>IF(D8&gt;0,D8-('A.VI. Rodagem'!$D45),"")</f>
        <v>0</v>
      </c>
      <c r="E50" s="135">
        <f>IF(E8&gt;0,E8-('A.VI. Rodagem'!$D45),"")</f>
        <v>0</v>
      </c>
      <c r="F50" s="135">
        <f>IF(F8&gt;0,F8-('A.VI. Rodagem'!$D45),"")</f>
        <v>0</v>
      </c>
      <c r="G50" s="135">
        <f>IF(G8&gt;0,G8-('A.VI. Rodagem'!$D45),"")</f>
        <v>0</v>
      </c>
    </row>
    <row r="51" spans="1:7" ht="15">
      <c r="A51" s="134" t="s">
        <v>134</v>
      </c>
      <c r="B51" s="134"/>
      <c r="C51" s="134"/>
      <c r="D51" s="135">
        <f>IF(D9&gt;0,D9-('A.VI. Rodagem'!$D46),"")</f>
        <v>629916</v>
      </c>
      <c r="E51" s="135">
        <f>IF(E9&gt;0,E9-('A.VI. Rodagem'!$D46),"")</f>
        <v>0</v>
      </c>
      <c r="F51" s="135">
        <f>IF(F9&gt;0,F9-('A.VI. Rodagem'!$D46),"")</f>
        <v>730676</v>
      </c>
      <c r="G51" s="135">
        <f>IF(G9&gt;0,G9-('A.VI. Rodagem'!$D46),"")</f>
        <v>0</v>
      </c>
    </row>
    <row r="52" spans="1:7" ht="15">
      <c r="A52" s="134" t="s">
        <v>138</v>
      </c>
      <c r="B52" s="134"/>
      <c r="C52" s="134"/>
      <c r="D52" s="135">
        <f>IF(D10&gt;0,D10-('A.VI. Rodagem'!$D47),"")</f>
        <v>0</v>
      </c>
      <c r="E52" s="135">
        <f>IF(E10&gt;0,E10-('A.VI. Rodagem'!$D47),"")</f>
        <v>0</v>
      </c>
      <c r="F52" s="135">
        <f>IF(F10&gt;0,F10-('A.VI. Rodagem'!$D47),"")</f>
        <v>0</v>
      </c>
      <c r="G52" s="135">
        <f>IF(G10&gt;0,G10-('A.VI. Rodagem'!$D47),"")</f>
        <v>0</v>
      </c>
    </row>
    <row r="53" spans="1:7" ht="15">
      <c r="A53" s="134" t="s">
        <v>140</v>
      </c>
      <c r="B53" s="134"/>
      <c r="C53" s="134"/>
      <c r="D53" s="135">
        <f>IF(D11&gt;0,D11-('A.VI. Rodagem'!$D48),"")</f>
        <v>0</v>
      </c>
      <c r="E53" s="135">
        <f>IF(E11&gt;0,E11-('A.VI. Rodagem'!$D48),"")</f>
        <v>0</v>
      </c>
      <c r="F53" s="135">
        <f>IF(F11&gt;0,F11-('A.VI. Rodagem'!$D48),"")</f>
        <v>0</v>
      </c>
      <c r="G53" s="135">
        <f>IF(G11&gt;0,G11-('A.VI. Rodagem'!$D48),"")</f>
        <v>0</v>
      </c>
    </row>
    <row r="54" spans="1:7" ht="15">
      <c r="A54" s="134" t="s">
        <v>144</v>
      </c>
      <c r="B54" s="134"/>
      <c r="C54" s="134"/>
      <c r="D54" s="135">
        <f>IF(D12&gt;0,D12-('A.VI. Rodagem'!$D49),"")</f>
        <v>0</v>
      </c>
      <c r="E54" s="135">
        <f>IF(E12&gt;0,E12-('A.VI. Rodagem'!$D49),"")</f>
        <v>0</v>
      </c>
      <c r="F54" s="135">
        <f>IF(F12&gt;0,F12-('A.VI. Rodagem'!$D49),"")</f>
        <v>0</v>
      </c>
      <c r="G54" s="135">
        <f>IF(G12&gt;0,G12-('A.VI. Rodagem'!$D49),"")</f>
        <v>0</v>
      </c>
    </row>
    <row r="55" spans="1:2" ht="15">
      <c r="A55" s="48"/>
      <c r="B55" s="48"/>
    </row>
    <row r="57" spans="1:4" ht="21">
      <c r="A57" s="136" t="s">
        <v>241</v>
      </c>
      <c r="B57" s="136"/>
      <c r="C57" s="136"/>
      <c r="D57" s="137">
        <f>SUM(D26:G32)/SUM(D37:G43)</f>
        <v>659394.2857142857</v>
      </c>
    </row>
    <row r="58" spans="1:4" ht="21">
      <c r="A58" s="136" t="s">
        <v>242</v>
      </c>
      <c r="B58" s="136"/>
      <c r="C58" s="136"/>
      <c r="D58" s="137">
        <f>D57</f>
        <v>659394.2857142857</v>
      </c>
    </row>
  </sheetData>
  <sheetProtection selectLockedCells="1" selectUnlockedCells="1"/>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pageMargins left="0.7875" right="0.7875" top="0.9840277777777778" bottom="0.9840277777777778"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47"/>
    <pageSetUpPr fitToPage="1"/>
  </sheetPr>
  <dimension ref="A1:O105"/>
  <sheetViews>
    <sheetView workbookViewId="0" topLeftCell="A91">
      <selection activeCell="F96" sqref="F96"/>
    </sheetView>
  </sheetViews>
  <sheetFormatPr defaultColWidth="9.140625" defaultRowHeight="12.75"/>
  <cols>
    <col min="1" max="1" width="4.7109375" style="138" customWidth="1"/>
    <col min="2" max="2" width="5.140625" style="139" customWidth="1"/>
    <col min="3" max="3" width="6.28125" style="139" customWidth="1"/>
    <col min="4" max="4" width="19.00390625" style="139" customWidth="1"/>
    <col min="5" max="5" width="30.00390625" style="139" customWidth="1"/>
    <col min="6" max="6" width="14.28125" style="0" customWidth="1"/>
    <col min="7" max="7" width="1.8515625" style="140" customWidth="1"/>
    <col min="8" max="8" width="9.140625" style="139" customWidth="1"/>
    <col min="9" max="9" width="1.7109375" style="140" customWidth="1"/>
    <col min="10" max="10" width="36.140625" style="141" customWidth="1"/>
    <col min="11" max="11" width="9.140625" style="0" customWidth="1"/>
    <col min="12" max="12" width="1.28515625" style="0" customWidth="1"/>
    <col min="13" max="13" width="9.140625" style="0" customWidth="1"/>
    <col min="14" max="14" width="38.7109375" style="0" customWidth="1"/>
    <col min="15" max="15" width="0.9921875" style="0" customWidth="1"/>
  </cols>
  <sheetData>
    <row r="1" ht="12.75">
      <c r="F1" s="139"/>
    </row>
    <row r="2" spans="6:11" ht="12.75">
      <c r="F2" s="139"/>
      <c r="K2" s="142"/>
    </row>
    <row r="3" spans="1:10" ht="31.5" customHeight="1">
      <c r="A3" s="143"/>
      <c r="B3" s="144" t="s">
        <v>243</v>
      </c>
      <c r="C3" s="144"/>
      <c r="D3" s="144"/>
      <c r="E3" s="144"/>
      <c r="F3" s="144"/>
      <c r="G3" s="144"/>
      <c r="H3" s="144"/>
      <c r="I3" s="144"/>
      <c r="J3" s="144"/>
    </row>
    <row r="4" spans="2:10" ht="24" customHeight="1">
      <c r="B4" s="145" t="s">
        <v>244</v>
      </c>
      <c r="C4" s="146"/>
      <c r="D4" s="146"/>
      <c r="E4" s="146"/>
      <c r="F4" s="147"/>
      <c r="G4" s="148"/>
      <c r="H4" s="146"/>
      <c r="I4" s="148"/>
      <c r="J4" s="149"/>
    </row>
    <row r="5" spans="1:8" s="140" customFormat="1" ht="12.75">
      <c r="A5" s="138"/>
      <c r="B5" s="139"/>
      <c r="C5" s="139"/>
      <c r="D5" s="139"/>
      <c r="E5" s="139"/>
      <c r="H5" s="139"/>
    </row>
    <row r="6" spans="1:10" s="140" customFormat="1" ht="12.75">
      <c r="A6" s="138"/>
      <c r="B6" s="139"/>
      <c r="C6" s="139"/>
      <c r="D6" s="139"/>
      <c r="E6" s="139"/>
      <c r="H6" s="139"/>
      <c r="J6" s="150"/>
    </row>
    <row r="7" spans="1:10" s="140" customFormat="1" ht="12.75">
      <c r="A7" s="138"/>
      <c r="B7" s="139"/>
      <c r="C7" s="139"/>
      <c r="D7" s="139"/>
      <c r="E7" s="139"/>
      <c r="H7" s="139"/>
      <c r="J7" s="150" t="s">
        <v>245</v>
      </c>
    </row>
    <row r="8" spans="1:10" s="140" customFormat="1" ht="12.75">
      <c r="A8" s="138" t="s">
        <v>246</v>
      </c>
      <c r="B8" s="151" t="s">
        <v>247</v>
      </c>
      <c r="C8" s="151"/>
      <c r="D8" s="151"/>
      <c r="E8" s="152"/>
      <c r="H8" s="139"/>
      <c r="J8" s="141"/>
    </row>
    <row r="9" spans="3:10" ht="15.75">
      <c r="C9" s="153" t="s">
        <v>248</v>
      </c>
      <c r="D9" s="154" t="s">
        <v>249</v>
      </c>
      <c r="E9" s="154"/>
      <c r="F9" s="155">
        <f>(5.14+5.4+5.2)/3</f>
        <v>5.246666666666666</v>
      </c>
      <c r="G9" s="156"/>
      <c r="H9" s="157" t="s">
        <v>250</v>
      </c>
      <c r="J9" s="158" t="s">
        <v>251</v>
      </c>
    </row>
    <row r="10" spans="6:15" ht="15.75">
      <c r="F10" s="140"/>
      <c r="J10" s="158"/>
      <c r="L10" s="15" t="s">
        <v>16</v>
      </c>
      <c r="M10" s="15"/>
      <c r="N10" s="15"/>
      <c r="O10" s="15"/>
    </row>
    <row r="11" spans="1:15" ht="15.75">
      <c r="A11" s="138" t="s">
        <v>252</v>
      </c>
      <c r="B11" s="151" t="s">
        <v>253</v>
      </c>
      <c r="C11" s="151"/>
      <c r="D11" s="151"/>
      <c r="E11" s="152"/>
      <c r="F11" s="140"/>
      <c r="J11" s="158"/>
      <c r="L11" s="17"/>
      <c r="M11" s="18"/>
      <c r="N11" s="18"/>
      <c r="O11" s="19"/>
    </row>
    <row r="12" spans="3:15" ht="26.25" customHeight="1">
      <c r="C12" s="159" t="s">
        <v>254</v>
      </c>
      <c r="D12" s="160" t="s">
        <v>255</v>
      </c>
      <c r="E12" s="160"/>
      <c r="F12" s="161">
        <v>0.0265</v>
      </c>
      <c r="G12" s="162"/>
      <c r="H12" s="163" t="s">
        <v>256</v>
      </c>
      <c r="J12" s="164" t="s">
        <v>257</v>
      </c>
      <c r="L12" s="20"/>
      <c r="M12" s="21"/>
      <c r="N12" s="22" t="s">
        <v>18</v>
      </c>
      <c r="O12" s="23"/>
    </row>
    <row r="13" spans="6:15" ht="15">
      <c r="F13" s="140"/>
      <c r="J13" s="165"/>
      <c r="L13" s="20"/>
      <c r="M13" s="27"/>
      <c r="N13" s="22" t="s">
        <v>20</v>
      </c>
      <c r="O13" s="23"/>
    </row>
    <row r="14" spans="1:15" ht="15">
      <c r="A14" s="138" t="s">
        <v>258</v>
      </c>
      <c r="B14" s="139" t="s">
        <v>259</v>
      </c>
      <c r="F14" s="140"/>
      <c r="H14" s="140"/>
      <c r="J14" s="165"/>
      <c r="L14" s="20"/>
      <c r="M14" s="28"/>
      <c r="N14" s="22" t="s">
        <v>22</v>
      </c>
      <c r="O14" s="23"/>
    </row>
    <row r="15" spans="3:15" ht="15.75">
      <c r="C15" s="153" t="s">
        <v>260</v>
      </c>
      <c r="D15" s="154" t="s">
        <v>261</v>
      </c>
      <c r="E15" s="154"/>
      <c r="F15" s="166">
        <v>0</v>
      </c>
      <c r="G15" s="156"/>
      <c r="H15" s="157" t="s">
        <v>250</v>
      </c>
      <c r="J15" s="158" t="s">
        <v>251</v>
      </c>
      <c r="L15" s="29"/>
      <c r="M15" s="30"/>
      <c r="N15" s="30"/>
      <c r="O15" s="31"/>
    </row>
    <row r="16" spans="3:10" ht="30" customHeight="1">
      <c r="C16" s="159" t="s">
        <v>262</v>
      </c>
      <c r="D16" s="160" t="s">
        <v>263</v>
      </c>
      <c r="E16" s="160"/>
      <c r="F16" s="167"/>
      <c r="G16" s="162"/>
      <c r="H16" s="163" t="s">
        <v>264</v>
      </c>
      <c r="J16" s="168" t="s">
        <v>265</v>
      </c>
    </row>
    <row r="17" spans="6:10" ht="12.75">
      <c r="F17" s="140"/>
      <c r="J17" s="165"/>
    </row>
    <row r="18" spans="1:10" ht="12.75">
      <c r="A18" s="138" t="s">
        <v>266</v>
      </c>
      <c r="B18" s="139" t="s">
        <v>267</v>
      </c>
      <c r="D18" s="114" t="s">
        <v>268</v>
      </c>
      <c r="F18" s="140"/>
      <c r="H18" s="140"/>
      <c r="J18" s="165"/>
    </row>
    <row r="19" spans="3:10" ht="15">
      <c r="C19" s="169" t="s">
        <v>269</v>
      </c>
      <c r="D19" s="170" t="s">
        <v>270</v>
      </c>
      <c r="E19" s="139" t="s">
        <v>271</v>
      </c>
      <c r="F19" s="171">
        <v>0</v>
      </c>
      <c r="G19" s="156"/>
      <c r="H19" s="157" t="s">
        <v>272</v>
      </c>
      <c r="J19" s="158" t="s">
        <v>251</v>
      </c>
    </row>
    <row r="20" spans="3:10" ht="15">
      <c r="C20" s="169"/>
      <c r="D20" s="170"/>
      <c r="E20" s="139" t="s">
        <v>273</v>
      </c>
      <c r="F20" s="172">
        <v>2514</v>
      </c>
      <c r="G20" s="156"/>
      <c r="H20" s="157" t="s">
        <v>272</v>
      </c>
      <c r="J20" s="158" t="s">
        <v>251</v>
      </c>
    </row>
    <row r="21" spans="3:10" ht="15">
      <c r="C21" s="169"/>
      <c r="D21" s="170"/>
      <c r="E21" s="139" t="s">
        <v>274</v>
      </c>
      <c r="F21" s="171">
        <v>0</v>
      </c>
      <c r="G21" s="156"/>
      <c r="H21" s="157" t="s">
        <v>272</v>
      </c>
      <c r="J21" s="158" t="s">
        <v>251</v>
      </c>
    </row>
    <row r="22" spans="3:10" ht="15">
      <c r="C22" s="169" t="s">
        <v>275</v>
      </c>
      <c r="D22" s="173" t="s">
        <v>276</v>
      </c>
      <c r="E22" s="139" t="s">
        <v>271</v>
      </c>
      <c r="F22" s="171">
        <v>0</v>
      </c>
      <c r="G22" s="156"/>
      <c r="H22" s="157" t="s">
        <v>272</v>
      </c>
      <c r="J22" s="158" t="s">
        <v>251</v>
      </c>
    </row>
    <row r="23" spans="3:10" ht="15">
      <c r="C23" s="169"/>
      <c r="D23" s="173"/>
      <c r="E23" s="139" t="s">
        <v>273</v>
      </c>
      <c r="F23" s="172">
        <v>592.5</v>
      </c>
      <c r="G23" s="156"/>
      <c r="H23" s="157" t="s">
        <v>272</v>
      </c>
      <c r="J23" s="158" t="s">
        <v>251</v>
      </c>
    </row>
    <row r="24" spans="3:10" ht="15">
      <c r="C24" s="169"/>
      <c r="D24" s="173"/>
      <c r="E24" s="139" t="s">
        <v>274</v>
      </c>
      <c r="F24" s="171">
        <v>0</v>
      </c>
      <c r="G24" s="156"/>
      <c r="H24" s="157" t="s">
        <v>272</v>
      </c>
      <c r="J24" s="158" t="s">
        <v>251</v>
      </c>
    </row>
    <row r="25" spans="6:10" ht="12.75">
      <c r="F25" s="140"/>
      <c r="H25" s="140"/>
      <c r="J25" s="165"/>
    </row>
    <row r="26" spans="6:10" ht="12.75">
      <c r="F26" s="140"/>
      <c r="H26" s="140"/>
      <c r="J26" s="165"/>
    </row>
    <row r="27" spans="1:10" ht="13.5">
      <c r="A27" s="138" t="s">
        <v>277</v>
      </c>
      <c r="B27" s="139" t="s">
        <v>278</v>
      </c>
      <c r="F27" s="140"/>
      <c r="H27" s="140"/>
      <c r="J27" s="165"/>
    </row>
    <row r="28" spans="3:10" ht="25.5" customHeight="1">
      <c r="C28" s="159" t="s">
        <v>279</v>
      </c>
      <c r="D28" s="160" t="s">
        <v>280</v>
      </c>
      <c r="E28" s="160"/>
      <c r="F28" s="174">
        <v>0.0014</v>
      </c>
      <c r="G28" s="162"/>
      <c r="H28" s="163" t="s">
        <v>264</v>
      </c>
      <c r="J28" s="164" t="s">
        <v>281</v>
      </c>
    </row>
    <row r="29" spans="6:10" ht="12.75">
      <c r="F29" s="140"/>
      <c r="H29" s="140"/>
      <c r="J29" s="158"/>
    </row>
    <row r="30" spans="1:10" ht="12.75">
      <c r="A30" s="138" t="s">
        <v>282</v>
      </c>
      <c r="B30" s="139" t="s">
        <v>283</v>
      </c>
      <c r="F30" s="140"/>
      <c r="H30" s="140"/>
      <c r="J30" s="158"/>
    </row>
    <row r="31" spans="3:10" ht="15">
      <c r="C31" s="153" t="s">
        <v>284</v>
      </c>
      <c r="D31" s="154" t="s">
        <v>285</v>
      </c>
      <c r="E31" s="154"/>
      <c r="F31" s="175">
        <f>'2.1.b Veículos'!D58</f>
        <v>659394.2857142857</v>
      </c>
      <c r="G31" s="156"/>
      <c r="H31" s="157" t="s">
        <v>286</v>
      </c>
      <c r="J31" s="168" t="s">
        <v>287</v>
      </c>
    </row>
    <row r="32" spans="6:10" ht="12.75">
      <c r="F32" s="140"/>
      <c r="H32" s="140"/>
      <c r="J32" s="168"/>
    </row>
    <row r="33" spans="1:8" ht="12.75">
      <c r="A33" s="138" t="s">
        <v>288</v>
      </c>
      <c r="B33" s="139" t="s">
        <v>289</v>
      </c>
      <c r="F33" s="140"/>
      <c r="H33" s="140"/>
    </row>
    <row r="34" spans="3:10" ht="15">
      <c r="C34" s="153" t="s">
        <v>290</v>
      </c>
      <c r="D34" s="154" t="s">
        <v>291</v>
      </c>
      <c r="E34" s="154"/>
      <c r="F34" s="171">
        <v>2580.79</v>
      </c>
      <c r="H34" s="157" t="s">
        <v>176</v>
      </c>
      <c r="J34" s="158" t="s">
        <v>292</v>
      </c>
    </row>
    <row r="35" spans="3:10" ht="15">
      <c r="C35" s="153" t="s">
        <v>293</v>
      </c>
      <c r="D35" s="154" t="s">
        <v>294</v>
      </c>
      <c r="E35" s="154"/>
      <c r="F35" s="171">
        <v>1679.09</v>
      </c>
      <c r="H35" s="157" t="s">
        <v>176</v>
      </c>
      <c r="J35" s="158" t="s">
        <v>292</v>
      </c>
    </row>
    <row r="36" spans="3:10" ht="15">
      <c r="C36" s="153" t="s">
        <v>295</v>
      </c>
      <c r="D36" s="154" t="s">
        <v>296</v>
      </c>
      <c r="E36" s="154"/>
      <c r="F36" s="171">
        <v>2861.76</v>
      </c>
      <c r="H36" s="157" t="s">
        <v>176</v>
      </c>
      <c r="J36" s="158" t="s">
        <v>292</v>
      </c>
    </row>
    <row r="37" spans="3:10" ht="15">
      <c r="C37" s="153" t="s">
        <v>297</v>
      </c>
      <c r="D37" s="154" t="s">
        <v>298</v>
      </c>
      <c r="E37" s="154"/>
      <c r="F37" s="171">
        <v>3328.86</v>
      </c>
      <c r="H37" s="157" t="s">
        <v>176</v>
      </c>
      <c r="J37" s="158"/>
    </row>
    <row r="38" spans="3:10" ht="15">
      <c r="C38" s="153" t="s">
        <v>299</v>
      </c>
      <c r="D38" s="154" t="s">
        <v>300</v>
      </c>
      <c r="E38" s="154"/>
      <c r="F38" s="171">
        <v>350</v>
      </c>
      <c r="H38" s="157" t="s">
        <v>176</v>
      </c>
      <c r="J38" s="158" t="s">
        <v>292</v>
      </c>
    </row>
    <row r="39" spans="3:10" ht="15">
      <c r="C39" s="153" t="s">
        <v>301</v>
      </c>
      <c r="D39" s="154" t="s">
        <v>302</v>
      </c>
      <c r="E39" s="154"/>
      <c r="F39" s="171">
        <v>350</v>
      </c>
      <c r="H39" s="157" t="s">
        <v>176</v>
      </c>
      <c r="J39" s="158" t="s">
        <v>292</v>
      </c>
    </row>
    <row r="40" spans="3:14" ht="15">
      <c r="C40" s="153" t="s">
        <v>303</v>
      </c>
      <c r="D40" s="154" t="s">
        <v>304</v>
      </c>
      <c r="E40" s="154"/>
      <c r="F40" s="171">
        <f>350+161.49</f>
        <v>511.49</v>
      </c>
      <c r="H40" s="157" t="s">
        <v>176</v>
      </c>
      <c r="J40" s="158" t="s">
        <v>292</v>
      </c>
      <c r="N40" s="176"/>
    </row>
    <row r="41" spans="3:14" ht="15">
      <c r="C41" s="153" t="s">
        <v>305</v>
      </c>
      <c r="D41" s="154" t="s">
        <v>306</v>
      </c>
      <c r="E41" s="154"/>
      <c r="F41" s="171">
        <v>350</v>
      </c>
      <c r="H41" s="157" t="s">
        <v>176</v>
      </c>
      <c r="J41" s="158"/>
      <c r="N41" s="176"/>
    </row>
    <row r="42" spans="3:10" ht="15">
      <c r="C42" s="153" t="s">
        <v>307</v>
      </c>
      <c r="D42" s="154" t="s">
        <v>308</v>
      </c>
      <c r="E42" s="154"/>
      <c r="F42" s="177">
        <v>1.6</v>
      </c>
      <c r="H42" s="163" t="s">
        <v>264</v>
      </c>
      <c r="J42" s="164" t="s">
        <v>309</v>
      </c>
    </row>
    <row r="43" spans="3:10" ht="15">
      <c r="C43" s="153" t="s">
        <v>310</v>
      </c>
      <c r="D43" s="154" t="s">
        <v>311</v>
      </c>
      <c r="E43" s="154"/>
      <c r="F43" s="177">
        <v>0.4</v>
      </c>
      <c r="H43" s="163" t="s">
        <v>264</v>
      </c>
      <c r="J43" s="168" t="s">
        <v>309</v>
      </c>
    </row>
    <row r="44" spans="3:10" ht="15">
      <c r="C44" s="153" t="s">
        <v>312</v>
      </c>
      <c r="D44" s="154" t="s">
        <v>313</v>
      </c>
      <c r="E44" s="154"/>
      <c r="F44" s="177">
        <v>0.3</v>
      </c>
      <c r="H44" s="163" t="s">
        <v>264</v>
      </c>
      <c r="J44" s="168" t="s">
        <v>309</v>
      </c>
    </row>
    <row r="45" spans="3:10" ht="15">
      <c r="C45" s="153" t="s">
        <v>314</v>
      </c>
      <c r="D45" s="152" t="s">
        <v>315</v>
      </c>
      <c r="E45" s="154"/>
      <c r="F45" s="177">
        <v>0.1</v>
      </c>
      <c r="H45" s="163" t="s">
        <v>264</v>
      </c>
      <c r="J45" s="168" t="s">
        <v>309</v>
      </c>
    </row>
    <row r="46" spans="3:10" ht="15">
      <c r="C46" s="153" t="s">
        <v>316</v>
      </c>
      <c r="D46" s="154" t="s">
        <v>317</v>
      </c>
      <c r="E46" s="154"/>
      <c r="F46" s="178">
        <v>1.6</v>
      </c>
      <c r="H46" s="163" t="s">
        <v>264</v>
      </c>
      <c r="J46" s="168" t="s">
        <v>309</v>
      </c>
    </row>
    <row r="47" spans="3:10" ht="15">
      <c r="C47" s="153" t="s">
        <v>318</v>
      </c>
      <c r="D47" s="154" t="s">
        <v>319</v>
      </c>
      <c r="E47" s="154"/>
      <c r="F47" s="178">
        <v>0.4</v>
      </c>
      <c r="H47" s="163" t="s">
        <v>264</v>
      </c>
      <c r="J47" s="168" t="s">
        <v>309</v>
      </c>
    </row>
    <row r="48" spans="3:10" ht="15">
      <c r="C48" s="153" t="s">
        <v>320</v>
      </c>
      <c r="D48" s="154" t="s">
        <v>321</v>
      </c>
      <c r="E48" s="154"/>
      <c r="F48" s="178">
        <v>0.3</v>
      </c>
      <c r="H48" s="163" t="s">
        <v>264</v>
      </c>
      <c r="J48" s="168" t="s">
        <v>309</v>
      </c>
    </row>
    <row r="49" spans="3:10" ht="15">
      <c r="C49" s="153" t="s">
        <v>322</v>
      </c>
      <c r="D49" s="152" t="s">
        <v>323</v>
      </c>
      <c r="E49" s="154"/>
      <c r="F49" s="178">
        <v>0.1</v>
      </c>
      <c r="H49" s="163" t="s">
        <v>264</v>
      </c>
      <c r="J49" s="168" t="s">
        <v>309</v>
      </c>
    </row>
    <row r="50" spans="3:10" ht="15.75">
      <c r="C50" s="153" t="s">
        <v>324</v>
      </c>
      <c r="D50" s="154" t="s">
        <v>325</v>
      </c>
      <c r="E50" s="154"/>
      <c r="F50" s="179">
        <v>35.82</v>
      </c>
      <c r="H50" s="157" t="s">
        <v>326</v>
      </c>
      <c r="J50" s="158" t="s">
        <v>292</v>
      </c>
    </row>
    <row r="51" spans="1:10" s="184" customFormat="1" ht="44.25" customHeight="1">
      <c r="A51" s="180"/>
      <c r="B51" s="181"/>
      <c r="C51" s="159" t="s">
        <v>327</v>
      </c>
      <c r="D51" s="160" t="s">
        <v>328</v>
      </c>
      <c r="E51" s="160"/>
      <c r="F51" s="182">
        <v>40</v>
      </c>
      <c r="G51" s="183"/>
      <c r="H51" s="163" t="s">
        <v>326</v>
      </c>
      <c r="I51" s="183"/>
      <c r="J51" s="164" t="s">
        <v>329</v>
      </c>
    </row>
    <row r="52" spans="6:8" ht="12.75">
      <c r="F52" s="140"/>
      <c r="H52" s="140"/>
    </row>
    <row r="53" spans="1:8" ht="12.75">
      <c r="A53" s="138" t="s">
        <v>330</v>
      </c>
      <c r="B53" s="139" t="s">
        <v>331</v>
      </c>
      <c r="F53" s="140"/>
      <c r="H53" s="140"/>
    </row>
    <row r="54" spans="3:10" ht="15">
      <c r="C54" s="153" t="s">
        <v>332</v>
      </c>
      <c r="D54" s="154" t="s">
        <v>333</v>
      </c>
      <c r="E54" s="154"/>
      <c r="F54" s="171">
        <v>0</v>
      </c>
      <c r="H54" s="157" t="s">
        <v>334</v>
      </c>
      <c r="J54" s="158" t="s">
        <v>292</v>
      </c>
    </row>
    <row r="55" spans="3:10" ht="15">
      <c r="C55" s="153" t="s">
        <v>335</v>
      </c>
      <c r="D55" s="154" t="s">
        <v>336</v>
      </c>
      <c r="E55" s="154"/>
      <c r="F55" s="171">
        <v>1211</v>
      </c>
      <c r="H55" s="157" t="s">
        <v>334</v>
      </c>
      <c r="J55" s="158" t="s">
        <v>292</v>
      </c>
    </row>
    <row r="56" spans="3:10" ht="15">
      <c r="C56" s="153" t="s">
        <v>337</v>
      </c>
      <c r="D56" s="154" t="s">
        <v>338</v>
      </c>
      <c r="E56" s="154"/>
      <c r="F56" s="171">
        <v>46359.12</v>
      </c>
      <c r="H56" s="157" t="s">
        <v>334</v>
      </c>
      <c r="J56" s="158" t="s">
        <v>292</v>
      </c>
    </row>
    <row r="57" spans="3:10" ht="15">
      <c r="C57" s="153" t="s">
        <v>339</v>
      </c>
      <c r="D57" s="154" t="s">
        <v>340</v>
      </c>
      <c r="E57" s="154"/>
      <c r="F57" s="107">
        <v>0</v>
      </c>
      <c r="H57" s="157" t="s">
        <v>334</v>
      </c>
      <c r="J57" s="158" t="s">
        <v>292</v>
      </c>
    </row>
    <row r="58" spans="4:10" ht="15">
      <c r="D58" s="152"/>
      <c r="E58" s="151"/>
      <c r="F58" s="140"/>
      <c r="H58" s="157"/>
      <c r="J58" s="158"/>
    </row>
    <row r="59" spans="1:6" ht="12.75">
      <c r="A59" s="138" t="s">
        <v>341</v>
      </c>
      <c r="B59" s="139" t="s">
        <v>342</v>
      </c>
      <c r="F59" s="140"/>
    </row>
    <row r="60" spans="1:10" s="184" customFormat="1" ht="29.25" customHeight="1">
      <c r="A60" s="180"/>
      <c r="B60" s="181"/>
      <c r="C60" s="159" t="s">
        <v>343</v>
      </c>
      <c r="D60" s="160" t="s">
        <v>344</v>
      </c>
      <c r="E60" s="160"/>
      <c r="F60" s="185">
        <v>0</v>
      </c>
      <c r="G60" s="162"/>
      <c r="H60" s="163" t="s">
        <v>345</v>
      </c>
      <c r="I60" s="183"/>
      <c r="J60" s="186" t="s">
        <v>292</v>
      </c>
    </row>
    <row r="61" spans="3:10" ht="15">
      <c r="C61" s="159" t="s">
        <v>346</v>
      </c>
      <c r="D61" s="154" t="s">
        <v>347</v>
      </c>
      <c r="E61" s="154"/>
      <c r="F61" s="185">
        <v>0</v>
      </c>
      <c r="H61" s="157" t="s">
        <v>173</v>
      </c>
      <c r="J61" s="186" t="s">
        <v>292</v>
      </c>
    </row>
    <row r="62" spans="3:10" ht="15">
      <c r="C62" s="159" t="s">
        <v>348</v>
      </c>
      <c r="D62" s="152" t="s">
        <v>349</v>
      </c>
      <c r="F62" s="185">
        <v>0</v>
      </c>
      <c r="G62" s="162"/>
      <c r="H62" s="157" t="s">
        <v>345</v>
      </c>
      <c r="J62" s="186" t="s">
        <v>292</v>
      </c>
    </row>
    <row r="63" spans="3:10" ht="15">
      <c r="C63" s="159" t="s">
        <v>350</v>
      </c>
      <c r="D63" s="139" t="s">
        <v>351</v>
      </c>
      <c r="F63" s="185">
        <v>0</v>
      </c>
      <c r="H63" s="139" t="s">
        <v>352</v>
      </c>
      <c r="J63" s="186" t="s">
        <v>292</v>
      </c>
    </row>
    <row r="64" ht="12.75">
      <c r="F64" s="140"/>
    </row>
    <row r="65" spans="1:6" ht="12.75">
      <c r="A65" s="138" t="s">
        <v>353</v>
      </c>
      <c r="B65" s="151" t="s">
        <v>354</v>
      </c>
      <c r="C65" s="151"/>
      <c r="D65" s="151"/>
      <c r="E65" s="152"/>
      <c r="F65" s="140"/>
    </row>
    <row r="66" spans="2:10" ht="21.75" customHeight="1">
      <c r="B66" s="152"/>
      <c r="C66" s="153" t="s">
        <v>355</v>
      </c>
      <c r="D66" s="152" t="s">
        <v>356</v>
      </c>
      <c r="E66" s="152"/>
      <c r="F66" s="107">
        <v>1.14</v>
      </c>
      <c r="H66" s="157" t="s">
        <v>326</v>
      </c>
      <c r="J66" s="158" t="s">
        <v>251</v>
      </c>
    </row>
    <row r="67" spans="2:14" ht="15">
      <c r="B67" s="152"/>
      <c r="C67" s="153" t="s">
        <v>357</v>
      </c>
      <c r="D67" s="152" t="s">
        <v>358</v>
      </c>
      <c r="E67" s="152"/>
      <c r="F67" s="107">
        <v>0.62</v>
      </c>
      <c r="H67" s="157" t="s">
        <v>326</v>
      </c>
      <c r="J67" s="158" t="s">
        <v>251</v>
      </c>
      <c r="N67" s="187"/>
    </row>
    <row r="68" spans="3:10" ht="15">
      <c r="C68" s="153" t="s">
        <v>359</v>
      </c>
      <c r="D68" s="154" t="s">
        <v>354</v>
      </c>
      <c r="E68" s="154"/>
      <c r="F68" s="188">
        <f>F66-F67/2</f>
        <v>0.8299999999999998</v>
      </c>
      <c r="G68" s="156"/>
      <c r="H68" s="157" t="s">
        <v>326</v>
      </c>
      <c r="J68" s="158"/>
    </row>
    <row r="69" ht="12.75">
      <c r="F69" s="140"/>
    </row>
    <row r="70" spans="1:6" ht="12.75">
      <c r="A70" s="138" t="s">
        <v>360</v>
      </c>
      <c r="B70" s="139" t="s">
        <v>361</v>
      </c>
      <c r="F70" s="140"/>
    </row>
    <row r="71" spans="1:10" ht="21" customHeight="1">
      <c r="A71" s="180"/>
      <c r="B71" s="181"/>
      <c r="C71" s="159" t="s">
        <v>362</v>
      </c>
      <c r="D71" s="160" t="s">
        <v>363</v>
      </c>
      <c r="E71" s="160"/>
      <c r="F71" s="171">
        <v>3200000</v>
      </c>
      <c r="G71" s="162"/>
      <c r="H71" s="157" t="s">
        <v>173</v>
      </c>
      <c r="J71" s="186" t="s">
        <v>292</v>
      </c>
    </row>
    <row r="72" spans="3:10" ht="15.75">
      <c r="C72" s="159" t="s">
        <v>364</v>
      </c>
      <c r="D72" s="154" t="s">
        <v>365</v>
      </c>
      <c r="E72" s="154"/>
      <c r="F72" s="171">
        <v>200000</v>
      </c>
      <c r="H72" s="157" t="s">
        <v>173</v>
      </c>
      <c r="J72" s="186" t="s">
        <v>292</v>
      </c>
    </row>
    <row r="73" spans="1:10" ht="15.75">
      <c r="A73" s="180"/>
      <c r="C73" s="159" t="s">
        <v>366</v>
      </c>
      <c r="D73" s="154" t="s">
        <v>367</v>
      </c>
      <c r="E73" s="154"/>
      <c r="F73" s="177">
        <v>25</v>
      </c>
      <c r="G73" s="162"/>
      <c r="H73" s="157" t="s">
        <v>345</v>
      </c>
      <c r="J73" s="164" t="s">
        <v>368</v>
      </c>
    </row>
    <row r="74" spans="1:10" ht="15">
      <c r="A74" s="180"/>
      <c r="C74" s="159" t="s">
        <v>369</v>
      </c>
      <c r="D74" s="154" t="s">
        <v>370</v>
      </c>
      <c r="E74" s="154"/>
      <c r="F74" s="177">
        <v>0</v>
      </c>
      <c r="G74" s="162"/>
      <c r="H74" s="157" t="s">
        <v>326</v>
      </c>
      <c r="J74" s="168" t="s">
        <v>368</v>
      </c>
    </row>
    <row r="75" spans="3:10" ht="15">
      <c r="C75" s="159" t="s">
        <v>371</v>
      </c>
      <c r="D75" s="154" t="s">
        <v>372</v>
      </c>
      <c r="E75" s="154"/>
      <c r="F75" s="171">
        <v>150000</v>
      </c>
      <c r="H75" s="157" t="s">
        <v>173</v>
      </c>
      <c r="J75" s="186" t="s">
        <v>292</v>
      </c>
    </row>
    <row r="76" spans="3:10" ht="15">
      <c r="C76" s="159" t="s">
        <v>373</v>
      </c>
      <c r="D76" s="154" t="s">
        <v>374</v>
      </c>
      <c r="E76" s="154"/>
      <c r="F76" s="177">
        <v>10</v>
      </c>
      <c r="G76" s="162"/>
      <c r="H76" s="157" t="s">
        <v>345</v>
      </c>
      <c r="J76" s="168" t="s">
        <v>368</v>
      </c>
    </row>
    <row r="77" spans="3:10" ht="15">
      <c r="C77" s="159" t="s">
        <v>375</v>
      </c>
      <c r="D77" s="154" t="s">
        <v>376</v>
      </c>
      <c r="E77" s="154"/>
      <c r="F77" s="177">
        <v>0</v>
      </c>
      <c r="G77" s="162"/>
      <c r="H77" s="157" t="s">
        <v>326</v>
      </c>
      <c r="J77" s="168" t="s">
        <v>368</v>
      </c>
    </row>
    <row r="78" spans="3:10" ht="15">
      <c r="C78" s="159" t="s">
        <v>377</v>
      </c>
      <c r="D78" s="189" t="s">
        <v>378</v>
      </c>
      <c r="E78" s="190"/>
      <c r="F78" s="185">
        <v>30000</v>
      </c>
      <c r="G78" s="162"/>
      <c r="H78" s="157" t="s">
        <v>173</v>
      </c>
      <c r="J78" s="186" t="s">
        <v>292</v>
      </c>
    </row>
    <row r="79" spans="3:10" ht="15">
      <c r="C79" s="159" t="s">
        <v>379</v>
      </c>
      <c r="D79" s="189" t="s">
        <v>380</v>
      </c>
      <c r="E79" s="190"/>
      <c r="F79" s="191"/>
      <c r="G79" s="162"/>
      <c r="H79" s="157" t="s">
        <v>345</v>
      </c>
      <c r="J79" s="168" t="s">
        <v>368</v>
      </c>
    </row>
    <row r="80" spans="3:10" ht="15">
      <c r="C80" s="159" t="s">
        <v>381</v>
      </c>
      <c r="D80" s="189" t="s">
        <v>382</v>
      </c>
      <c r="E80" s="190"/>
      <c r="F80" s="191"/>
      <c r="G80" s="162"/>
      <c r="H80" s="157" t="s">
        <v>326</v>
      </c>
      <c r="J80" s="168" t="s">
        <v>368</v>
      </c>
    </row>
    <row r="82" spans="1:6" ht="12.75">
      <c r="A82" s="138" t="s">
        <v>383</v>
      </c>
      <c r="B82" s="139" t="s">
        <v>384</v>
      </c>
      <c r="F82" s="140"/>
    </row>
    <row r="83" spans="1:10" s="184" customFormat="1" ht="50.25" customHeight="1">
      <c r="A83" s="180"/>
      <c r="B83" s="181"/>
      <c r="C83" s="159" t="s">
        <v>385</v>
      </c>
      <c r="D83" s="160" t="s">
        <v>386</v>
      </c>
      <c r="E83" s="160"/>
      <c r="F83" s="192">
        <v>0</v>
      </c>
      <c r="G83" s="162"/>
      <c r="H83" s="163" t="s">
        <v>176</v>
      </c>
      <c r="I83" s="183"/>
      <c r="J83" s="186" t="s">
        <v>292</v>
      </c>
    </row>
    <row r="84" spans="1:10" s="184" customFormat="1" ht="26.25" customHeight="1">
      <c r="A84" s="180"/>
      <c r="B84" s="181"/>
      <c r="C84" s="159" t="s">
        <v>387</v>
      </c>
      <c r="D84" s="160" t="s">
        <v>388</v>
      </c>
      <c r="E84" s="160"/>
      <c r="F84" s="192">
        <v>61548</v>
      </c>
      <c r="G84" s="162"/>
      <c r="H84" s="163" t="s">
        <v>389</v>
      </c>
      <c r="I84" s="183"/>
      <c r="J84" s="186" t="s">
        <v>292</v>
      </c>
    </row>
    <row r="85" spans="1:10" s="184" customFormat="1" ht="24.75" customHeight="1">
      <c r="A85" s="180"/>
      <c r="B85" s="181"/>
      <c r="C85" s="159" t="s">
        <v>390</v>
      </c>
      <c r="D85" s="160" t="s">
        <v>391</v>
      </c>
      <c r="E85" s="160"/>
      <c r="F85" s="185">
        <v>0</v>
      </c>
      <c r="G85" s="162"/>
      <c r="H85" s="163" t="s">
        <v>334</v>
      </c>
      <c r="I85" s="183"/>
      <c r="J85" s="186" t="s">
        <v>292</v>
      </c>
    </row>
    <row r="86" spans="1:10" s="184" customFormat="1" ht="24.75" customHeight="1">
      <c r="A86" s="180"/>
      <c r="B86" s="181"/>
      <c r="C86" s="159" t="s">
        <v>392</v>
      </c>
      <c r="D86" s="160" t="s">
        <v>393</v>
      </c>
      <c r="E86" s="160"/>
      <c r="F86" s="185">
        <v>14</v>
      </c>
      <c r="G86" s="162"/>
      <c r="H86" s="163" t="s">
        <v>394</v>
      </c>
      <c r="I86" s="183"/>
      <c r="J86" s="186" t="s">
        <v>292</v>
      </c>
    </row>
    <row r="87" spans="1:10" s="184" customFormat="1" ht="24.75" customHeight="1">
      <c r="A87" s="180"/>
      <c r="B87" s="181"/>
      <c r="C87" s="159" t="s">
        <v>395</v>
      </c>
      <c r="D87" s="160" t="s">
        <v>396</v>
      </c>
      <c r="E87" s="160"/>
      <c r="F87" s="185">
        <v>0</v>
      </c>
      <c r="G87" s="162"/>
      <c r="H87" s="163" t="s">
        <v>176</v>
      </c>
      <c r="I87" s="183"/>
      <c r="J87" s="186" t="s">
        <v>292</v>
      </c>
    </row>
    <row r="88" spans="3:10" ht="15">
      <c r="C88" s="159" t="s">
        <v>397</v>
      </c>
      <c r="D88" s="139" t="s">
        <v>398</v>
      </c>
      <c r="F88" s="185">
        <v>0</v>
      </c>
      <c r="G88" s="162"/>
      <c r="H88" s="157" t="s">
        <v>176</v>
      </c>
      <c r="J88" s="186" t="s">
        <v>292</v>
      </c>
    </row>
    <row r="89" spans="3:10" ht="15">
      <c r="C89" s="159"/>
      <c r="F89" s="157"/>
      <c r="G89" s="157"/>
      <c r="H89" s="157"/>
      <c r="J89" s="186"/>
    </row>
    <row r="90" spans="1:6" ht="13.5">
      <c r="A90" s="138" t="s">
        <v>399</v>
      </c>
      <c r="B90" s="139" t="s">
        <v>400</v>
      </c>
      <c r="F90" s="140"/>
    </row>
    <row r="91" spans="1:10" s="184" customFormat="1" ht="28.5" customHeight="1">
      <c r="A91" s="180"/>
      <c r="B91" s="181"/>
      <c r="C91" s="181" t="s">
        <v>401</v>
      </c>
      <c r="D91" s="160" t="s">
        <v>402</v>
      </c>
      <c r="E91" s="160"/>
      <c r="F91" s="193">
        <v>7.31</v>
      </c>
      <c r="G91" s="162"/>
      <c r="H91" s="163" t="s">
        <v>326</v>
      </c>
      <c r="I91" s="183"/>
      <c r="J91" s="164" t="s">
        <v>403</v>
      </c>
    </row>
    <row r="92" ht="13.5"/>
    <row r="93" spans="1:10" ht="15.75">
      <c r="A93" s="138" t="s">
        <v>404</v>
      </c>
      <c r="B93" s="139" t="s">
        <v>405</v>
      </c>
      <c r="F93" s="188">
        <f>'A.XVI. Despesas Gerais'!D49</f>
        <v>99860.04000000001</v>
      </c>
      <c r="H93" s="157" t="s">
        <v>334</v>
      </c>
      <c r="J93" s="164" t="s">
        <v>406</v>
      </c>
    </row>
    <row r="95" spans="1:6" ht="12.75">
      <c r="A95" s="138" t="s">
        <v>407</v>
      </c>
      <c r="B95" s="139" t="s">
        <v>408</v>
      </c>
      <c r="F95" s="140"/>
    </row>
    <row r="96" spans="1:10" s="184" customFormat="1" ht="23.25" customHeight="1">
      <c r="A96" s="180"/>
      <c r="B96" s="181"/>
      <c r="C96" s="159" t="s">
        <v>409</v>
      </c>
      <c r="D96" s="160" t="s">
        <v>410</v>
      </c>
      <c r="E96" s="160"/>
      <c r="F96" s="194">
        <v>5</v>
      </c>
      <c r="G96" s="162"/>
      <c r="H96" s="163" t="s">
        <v>326</v>
      </c>
      <c r="I96" s="183"/>
      <c r="J96" s="186" t="s">
        <v>292</v>
      </c>
    </row>
    <row r="97" spans="1:10" s="184" customFormat="1" ht="15" customHeight="1">
      <c r="A97" s="180"/>
      <c r="B97" s="181"/>
      <c r="C97" s="159" t="s">
        <v>411</v>
      </c>
      <c r="D97" s="160" t="s">
        <v>412</v>
      </c>
      <c r="E97" s="160"/>
      <c r="F97" s="194">
        <v>0.600215</v>
      </c>
      <c r="G97" s="162"/>
      <c r="H97" s="163" t="s">
        <v>326</v>
      </c>
      <c r="I97" s="183"/>
      <c r="J97" s="186" t="s">
        <v>292</v>
      </c>
    </row>
    <row r="98" spans="1:10" s="184" customFormat="1" ht="24.75" customHeight="1">
      <c r="A98" s="180"/>
      <c r="B98" s="181"/>
      <c r="C98" s="159" t="s">
        <v>413</v>
      </c>
      <c r="D98" s="160" t="s">
        <v>414</v>
      </c>
      <c r="E98" s="160"/>
      <c r="F98" s="194">
        <v>2.77275</v>
      </c>
      <c r="G98" s="162"/>
      <c r="H98" s="163" t="s">
        <v>326</v>
      </c>
      <c r="I98" s="183"/>
      <c r="J98" s="186" t="s">
        <v>292</v>
      </c>
    </row>
    <row r="99" spans="1:10" s="184" customFormat="1" ht="24.75" customHeight="1">
      <c r="A99" s="180"/>
      <c r="B99" s="181"/>
      <c r="C99" s="159" t="s">
        <v>415</v>
      </c>
      <c r="D99" s="160" t="s">
        <v>416</v>
      </c>
      <c r="E99" s="160"/>
      <c r="F99" s="194">
        <v>0</v>
      </c>
      <c r="G99" s="162"/>
      <c r="H99" s="163" t="s">
        <v>326</v>
      </c>
      <c r="I99" s="183"/>
      <c r="J99" s="186" t="s">
        <v>292</v>
      </c>
    </row>
    <row r="100" spans="1:10" s="184" customFormat="1" ht="15" customHeight="1">
      <c r="A100" s="180"/>
      <c r="B100" s="181"/>
      <c r="C100" s="159" t="s">
        <v>417</v>
      </c>
      <c r="D100" s="160" t="s">
        <v>418</v>
      </c>
      <c r="E100" s="160"/>
      <c r="F100" s="194">
        <v>5.275663</v>
      </c>
      <c r="G100" s="162"/>
      <c r="H100" s="163" t="s">
        <v>326</v>
      </c>
      <c r="I100" s="183"/>
      <c r="J100" s="186" t="s">
        <v>292</v>
      </c>
    </row>
    <row r="101" spans="1:10" s="184" customFormat="1" ht="15" customHeight="1">
      <c r="A101" s="180"/>
      <c r="B101" s="181"/>
      <c r="C101" s="159" t="s">
        <v>419</v>
      </c>
      <c r="D101" s="160" t="s">
        <v>420</v>
      </c>
      <c r="E101" s="160"/>
      <c r="F101" s="194">
        <v>0</v>
      </c>
      <c r="G101" s="162"/>
      <c r="H101" s="163" t="s">
        <v>326</v>
      </c>
      <c r="I101" s="183"/>
      <c r="J101" s="186" t="s">
        <v>292</v>
      </c>
    </row>
    <row r="102" spans="1:10" s="184" customFormat="1" ht="23.25" customHeight="1">
      <c r="A102" s="180"/>
      <c r="B102" s="181"/>
      <c r="C102" s="159" t="s">
        <v>421</v>
      </c>
      <c r="D102" s="160" t="s">
        <v>422</v>
      </c>
      <c r="E102" s="160"/>
      <c r="F102" s="194">
        <v>8.65</v>
      </c>
      <c r="G102" s="162"/>
      <c r="H102" s="163" t="s">
        <v>326</v>
      </c>
      <c r="I102" s="183"/>
      <c r="J102" s="186" t="s">
        <v>292</v>
      </c>
    </row>
    <row r="104" spans="1:6" ht="15">
      <c r="A104" s="138" t="s">
        <v>407</v>
      </c>
      <c r="B104" s="139" t="s">
        <v>423</v>
      </c>
      <c r="F104" s="163"/>
    </row>
    <row r="105" spans="3:10" ht="15">
      <c r="C105" s="159" t="s">
        <v>409</v>
      </c>
      <c r="D105" s="195" t="s">
        <v>424</v>
      </c>
      <c r="E105" s="195"/>
      <c r="F105" s="196"/>
      <c r="G105" s="162"/>
      <c r="H105" s="163" t="s">
        <v>176</v>
      </c>
      <c r="I105" s="183"/>
      <c r="J105" s="186" t="s">
        <v>292</v>
      </c>
    </row>
  </sheetData>
  <sheetProtection selectLockedCells="1" selectUnlockedCells="1"/>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pageMargins left="0.5118055555555556" right="0.5118055555555556" top="0.7875" bottom="0.7875" header="0.5118110236220472" footer="0.5118110236220472"/>
  <pageSetup fitToHeight="1" fitToWidth="1" horizontalDpi="300" verticalDpi="300" orientation="landscape" paperSize="9"/>
  <legacyDrawing r:id="rId2"/>
</worksheet>
</file>

<file path=xl/worksheets/sheet9.xml><?xml version="1.0" encoding="utf-8"?>
<worksheet xmlns="http://schemas.openxmlformats.org/spreadsheetml/2006/main" xmlns:r="http://schemas.openxmlformats.org/officeDocument/2006/relationships">
  <sheetPr>
    <tabColor indexed="44"/>
  </sheetPr>
  <dimension ref="A1:K40"/>
  <sheetViews>
    <sheetView workbookViewId="0" topLeftCell="A1">
      <selection activeCell="F3" sqref="F3"/>
    </sheetView>
  </sheetViews>
  <sheetFormatPr defaultColWidth="9.140625" defaultRowHeight="12.75"/>
  <cols>
    <col min="1" max="1" width="5.28125" style="197" customWidth="1"/>
    <col min="2" max="2" width="6.28125" style="198" customWidth="1"/>
    <col min="3" max="3" width="24.28125" style="198" customWidth="1"/>
    <col min="4" max="4" width="4.140625" style="199" customWidth="1"/>
    <col min="5" max="5" width="17.57421875" style="200" customWidth="1"/>
    <col min="6" max="6" width="14.57421875" style="200" customWidth="1"/>
    <col min="7" max="7" width="11.421875" style="200" customWidth="1"/>
    <col min="8" max="8" width="1.28515625" style="200" customWidth="1"/>
    <col min="9" max="9" width="11.421875" style="200" customWidth="1"/>
    <col min="10" max="10" width="38.7109375" style="200" customWidth="1"/>
    <col min="11" max="11" width="0.9921875" style="200" customWidth="1"/>
    <col min="12" max="16384" width="11.421875" style="200" customWidth="1"/>
  </cols>
  <sheetData>
    <row r="1" spans="1:6" s="201" customFormat="1" ht="12.75">
      <c r="A1" s="201" t="s">
        <v>425</v>
      </c>
      <c r="B1" s="201" t="s">
        <v>426</v>
      </c>
      <c r="D1" s="202" t="s">
        <v>173</v>
      </c>
      <c r="E1" s="203">
        <f>SUM(E3:E8)</f>
        <v>121958.61031112554</v>
      </c>
      <c r="F1" s="204"/>
    </row>
    <row r="2" ht="13.5"/>
    <row r="3" spans="2:11" ht="15.75">
      <c r="B3" s="205" t="s">
        <v>427</v>
      </c>
      <c r="C3" s="205" t="s">
        <v>428</v>
      </c>
      <c r="D3" s="206" t="s">
        <v>173</v>
      </c>
      <c r="E3" s="207">
        <f>'2.1.c Insumos'!F9*'2.1.a Combustível'!C73</f>
        <v>87282.60703636364</v>
      </c>
      <c r="F3" s="208"/>
      <c r="G3" s="208"/>
      <c r="H3" s="15" t="s">
        <v>16</v>
      </c>
      <c r="I3" s="15"/>
      <c r="J3" s="15"/>
      <c r="K3" s="15"/>
    </row>
    <row r="4" spans="2:11" ht="15">
      <c r="B4" s="205" t="s">
        <v>429</v>
      </c>
      <c r="C4" s="205" t="s">
        <v>253</v>
      </c>
      <c r="D4" s="206" t="s">
        <v>173</v>
      </c>
      <c r="E4" s="207">
        <f>'2.1.c Insumos'!F9*'2.1.c Insumos'!F12*'1.4 Indicadores'!E9</f>
        <v>6014.865236666666</v>
      </c>
      <c r="F4" s="208"/>
      <c r="G4" s="208"/>
      <c r="H4" s="17"/>
      <c r="I4" s="18"/>
      <c r="J4" s="18"/>
      <c r="K4" s="19"/>
    </row>
    <row r="5" spans="2:11" ht="15">
      <c r="B5" s="205" t="s">
        <v>430</v>
      </c>
      <c r="C5" s="205" t="s">
        <v>431</v>
      </c>
      <c r="D5" s="206" t="s">
        <v>173</v>
      </c>
      <c r="E5" s="207">
        <f>'2.1.c Insumos'!F15*'2.1.c Insumos'!F16*'2.1.a Combustível'!C73</f>
        <v>0</v>
      </c>
      <c r="F5" s="208"/>
      <c r="G5" s="208"/>
      <c r="H5" s="20"/>
      <c r="I5" s="21"/>
      <c r="J5" s="22" t="s">
        <v>18</v>
      </c>
      <c r="K5" s="23"/>
    </row>
    <row r="6" spans="2:11" ht="15">
      <c r="B6" s="205" t="s">
        <v>432</v>
      </c>
      <c r="C6" s="205" t="s">
        <v>433</v>
      </c>
      <c r="D6" s="206" t="s">
        <v>173</v>
      </c>
      <c r="E6" s="207">
        <f>('1.4 Indicadores'!E9/'1.4 Indicadores'!E16)*SUM('A.VI. Rodagem'!E54:F60)</f>
        <v>9144.139371428571</v>
      </c>
      <c r="F6" s="208"/>
      <c r="G6" s="208"/>
      <c r="H6" s="20"/>
      <c r="I6" s="27"/>
      <c r="J6" s="22" t="s">
        <v>20</v>
      </c>
      <c r="K6" s="23"/>
    </row>
    <row r="7" spans="2:11" ht="15">
      <c r="B7" s="205" t="s">
        <v>434</v>
      </c>
      <c r="C7" s="205" t="s">
        <v>435</v>
      </c>
      <c r="D7" s="206" t="s">
        <v>173</v>
      </c>
      <c r="E7" s="207">
        <f>((((AVERAGE('2.1.b Veículos'!D9,'2.1.b Veículos'!F9)*'A.VII. Peças e acessórios '!F9)))/12)*SUM(('1.3 Frota Total'!E52:H59))</f>
        <v>18543.466666666667</v>
      </c>
      <c r="F7" s="209"/>
      <c r="G7" s="208"/>
      <c r="H7" s="20"/>
      <c r="I7" s="28"/>
      <c r="J7" s="22" t="s">
        <v>22</v>
      </c>
      <c r="K7" s="23"/>
    </row>
    <row r="8" spans="2:11" ht="15.75">
      <c r="B8" s="205" t="s">
        <v>436</v>
      </c>
      <c r="C8" s="205" t="s">
        <v>278</v>
      </c>
      <c r="D8" s="206" t="s">
        <v>173</v>
      </c>
      <c r="E8" s="207">
        <f>('2.1.b Veículos'!D9+'2.1.b Veículos'!F9)/2*'2.1.c Insumos'!F28</f>
        <v>973.532</v>
      </c>
      <c r="F8" s="208"/>
      <c r="G8" s="208"/>
      <c r="H8" s="29"/>
      <c r="I8" s="30"/>
      <c r="J8" s="30"/>
      <c r="K8" s="31"/>
    </row>
    <row r="12" ht="12.75">
      <c r="F12" s="210"/>
    </row>
    <row r="15" ht="12.75">
      <c r="J15" s="211"/>
    </row>
    <row r="17" ht="12.75">
      <c r="J17" s="212"/>
    </row>
    <row r="18" ht="12.75">
      <c r="I18" s="213"/>
    </row>
    <row r="19" ht="12.75">
      <c r="I19" s="213"/>
    </row>
    <row r="40" ht="15">
      <c r="J40" s="115"/>
    </row>
  </sheetData>
  <sheetProtection selectLockedCells="1" selectUnlockedCells="1"/>
  <mergeCells count="1">
    <mergeCell ref="H3:K3"/>
  </mergeCells>
  <printOptions/>
  <pageMargins left="0.5118055555555556" right="0.5118055555555556" top="0.7875" bottom="0.78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
  <cp:lastPrinted>2023-03-27T17:11:21Z</cp:lastPrinted>
  <dcterms:created xsi:type="dcterms:W3CDTF">1997-01-10T22:22:50Z</dcterms:created>
  <dcterms:modified xsi:type="dcterms:W3CDTF">2023-03-27T17:11:26Z</dcterms:modified>
  <cp:category/>
  <cp:version/>
  <cp:contentType/>
  <cp:contentStatus/>
  <cp:revision>1</cp:revision>
</cp:coreProperties>
</file>